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omas_poelmans/Dropbox/Project drives/Hydrobox Belgium - Management drive/1. Business plan &amp; fundraising/2. Financial plan/"/>
    </mc:Choice>
  </mc:AlternateContent>
  <xr:revisionPtr revIDLastSave="0" documentId="8_{86984BF2-D1C0-5442-A340-49AB7E9C592F}" xr6:coauthVersionLast="41" xr6:coauthVersionMax="41" xr10:uidLastSave="{00000000-0000-0000-0000-000000000000}"/>
  <bookViews>
    <workbookView xWindow="30480" yWindow="1960" windowWidth="25600" windowHeight="14440" tabRatio="893" activeTab="7" xr2:uid="{00000000-000D-0000-FFFF-FFFF00000000}"/>
  </bookViews>
  <sheets>
    <sheet name="Cover" sheetId="23" r:id="rId1"/>
    <sheet name="Base figures" sheetId="27" r:id="rId2"/>
    <sheet name="P&amp;L Forecast" sheetId="11" r:id="rId3"/>
    <sheet name="Balance Sheet" sheetId="45" r:id="rId4"/>
    <sheet name="Assets" sheetId="20" r:id="rId5"/>
    <sheet name="Cash Flow" sheetId="43" r:id="rId6"/>
    <sheet name="Sales" sheetId="19" r:id="rId7"/>
    <sheet name="Labour " sheetId="26" r:id="rId8"/>
    <sheet name="Overhead costs" sheetId="34" r:id="rId9"/>
    <sheet name="EVD" sheetId="36" state="hidden" r:id="rId10"/>
    <sheet name="turn over2" sheetId="14" state="hidden" r:id="rId11"/>
    <sheet name="turn over1" sheetId="6" state="hidden" r:id="rId12"/>
    <sheet name="Investment" sheetId="2" state="hidden" r:id="rId13"/>
    <sheet name="Financial Costs" sheetId="47" r:id="rId14"/>
  </sheets>
  <externalReferences>
    <externalReference r:id="rId15"/>
  </externalReferences>
  <definedNames>
    <definedName name="figs">'[1]DCF (capex)'!#REF!</definedName>
    <definedName name="Page1">#REF!</definedName>
    <definedName name="Page2">#REF!</definedName>
    <definedName name="_xlnm.Print_Area" localSheetId="4">Assets!$B$1:$K$85</definedName>
    <definedName name="_xlnm.Print_Area" localSheetId="3">'Balance Sheet'!$A$1:$H$47</definedName>
    <definedName name="_xlnm.Print_Area" localSheetId="1">'Base figures'!$A$1:$U$120</definedName>
    <definedName name="_xlnm.Print_Area" localSheetId="5">'Cash Flow'!$A$1:$O$74</definedName>
    <definedName name="_xlnm.Print_Area" localSheetId="13">'Financial Costs'!$A$1:$I$91</definedName>
    <definedName name="_xlnm.Print_Area" localSheetId="7">'Labour '!$A$1:$O$44</definedName>
    <definedName name="_xlnm.Print_Area" localSheetId="8">'Overhead costs'!$A$1:$O$50</definedName>
    <definedName name="_xlnm.Print_Area" localSheetId="2">'P&amp;L Forecast'!$A$1:$S$56</definedName>
    <definedName name="_xlnm.Print_Area" localSheetId="6">Sales!$A$1:$P$56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P12" i="19" l="1"/>
  <c r="O12" i="19"/>
  <c r="N12" i="19"/>
  <c r="M12" i="19"/>
  <c r="L12" i="19"/>
  <c r="K12" i="19"/>
  <c r="J12" i="19"/>
  <c r="I12" i="19"/>
  <c r="H12" i="19"/>
  <c r="G12" i="19"/>
  <c r="P29" i="19"/>
  <c r="O29" i="19"/>
  <c r="N29" i="19"/>
  <c r="M29" i="19"/>
  <c r="L29" i="19"/>
  <c r="K29" i="19"/>
  <c r="J29" i="19"/>
  <c r="I29" i="19"/>
  <c r="H29" i="19"/>
  <c r="G29" i="19"/>
  <c r="J33" i="34" l="1"/>
  <c r="K33" i="34"/>
  <c r="L33" i="34"/>
  <c r="M33" i="34"/>
  <c r="F24" i="26" l="1"/>
  <c r="G24" i="26"/>
  <c r="N25" i="26"/>
  <c r="M25" i="26"/>
  <c r="L25" i="26"/>
  <c r="K25" i="26"/>
  <c r="J25" i="26"/>
  <c r="I25" i="26"/>
  <c r="H25" i="26"/>
  <c r="G25" i="26"/>
  <c r="F25" i="26"/>
  <c r="E25" i="26"/>
  <c r="BK45" i="43" l="1"/>
  <c r="BE44" i="43"/>
  <c r="O40" i="11" l="1"/>
  <c r="O38" i="11"/>
  <c r="O37" i="11"/>
  <c r="N40" i="11"/>
  <c r="N38" i="11"/>
  <c r="N37" i="11"/>
  <c r="O42" i="34"/>
  <c r="O37" i="34"/>
  <c r="O36" i="34"/>
  <c r="O35" i="34"/>
  <c r="O31" i="34"/>
  <c r="O30" i="34"/>
  <c r="O29" i="34"/>
  <c r="O26" i="34"/>
  <c r="O24" i="34"/>
  <c r="O23" i="34"/>
  <c r="O22" i="34"/>
  <c r="O17" i="34"/>
  <c r="O16" i="34"/>
  <c r="O15" i="34"/>
  <c r="O14" i="34"/>
  <c r="O19" i="34" s="1"/>
  <c r="O13" i="34"/>
  <c r="N42" i="34"/>
  <c r="N37" i="34"/>
  <c r="N36" i="34"/>
  <c r="N35" i="34"/>
  <c r="N33" i="34"/>
  <c r="O33" i="34" s="1"/>
  <c r="N31" i="34"/>
  <c r="N30" i="34"/>
  <c r="N29" i="34"/>
  <c r="N26" i="34"/>
  <c r="N24" i="34"/>
  <c r="N23" i="34"/>
  <c r="N22" i="34"/>
  <c r="N19" i="34"/>
  <c r="N17" i="34"/>
  <c r="N16" i="34"/>
  <c r="N15" i="34"/>
  <c r="N14" i="34"/>
  <c r="N13" i="34"/>
  <c r="N37" i="26"/>
  <c r="N36" i="26"/>
  <c r="N34" i="26"/>
  <c r="N33" i="26"/>
  <c r="N32" i="26"/>
  <c r="N29" i="26"/>
  <c r="N28" i="26"/>
  <c r="N27" i="26"/>
  <c r="N20" i="26"/>
  <c r="N17" i="26"/>
  <c r="N13" i="26"/>
  <c r="N22" i="26"/>
  <c r="M37" i="26"/>
  <c r="M36" i="26"/>
  <c r="M34" i="26"/>
  <c r="M33" i="26"/>
  <c r="M32" i="26"/>
  <c r="M29" i="26"/>
  <c r="M28" i="26"/>
  <c r="M27" i="26"/>
  <c r="M17" i="26"/>
  <c r="M13" i="26"/>
  <c r="M20" i="26" s="1"/>
  <c r="M22" i="26"/>
  <c r="K14" i="45" l="1"/>
  <c r="J14" i="45"/>
  <c r="I14" i="45"/>
  <c r="H14" i="45"/>
  <c r="AK45" i="20"/>
  <c r="AK47" i="20"/>
  <c r="Y47" i="20"/>
  <c r="AF35" i="20"/>
  <c r="AG35" i="20" s="1"/>
  <c r="AH35" i="20" s="1"/>
  <c r="AF36" i="20"/>
  <c r="AG36" i="20" s="1"/>
  <c r="AH36" i="20" s="1"/>
  <c r="AI36" i="20" s="1"/>
  <c r="AJ36" i="20" s="1"/>
  <c r="AK36" i="20" s="1"/>
  <c r="AL36" i="20" s="1"/>
  <c r="AM36" i="20" s="1"/>
  <c r="AN36" i="20" s="1"/>
  <c r="AO36" i="20" s="1"/>
  <c r="AP36" i="20" s="1"/>
  <c r="T35" i="20"/>
  <c r="U35" i="20"/>
  <c r="V35" i="20"/>
  <c r="W35" i="20"/>
  <c r="X35" i="20"/>
  <c r="X47" i="20" s="1"/>
  <c r="Y35" i="20"/>
  <c r="Z35" i="20"/>
  <c r="AA35" i="20"/>
  <c r="AB35" i="20"/>
  <c r="AC35" i="20"/>
  <c r="AD35" i="20"/>
  <c r="T36" i="20"/>
  <c r="U36" i="20"/>
  <c r="V36" i="20"/>
  <c r="W36" i="20"/>
  <c r="X36" i="20"/>
  <c r="Y36" i="20"/>
  <c r="Z36" i="20"/>
  <c r="AA36" i="20"/>
  <c r="AB36" i="20"/>
  <c r="AC36" i="20"/>
  <c r="AD36" i="20"/>
  <c r="AJ29" i="20"/>
  <c r="K76" i="20"/>
  <c r="K66" i="20"/>
  <c r="K47" i="20"/>
  <c r="AJ76" i="20"/>
  <c r="AJ66" i="20"/>
  <c r="AJ26" i="20"/>
  <c r="AZ21" i="43"/>
  <c r="AX21" i="43"/>
  <c r="AY21" i="43"/>
  <c r="J100" i="47"/>
  <c r="J98" i="47"/>
  <c r="J96" i="47"/>
  <c r="J97" i="47"/>
  <c r="J99" i="47"/>
  <c r="M99" i="47" s="1"/>
  <c r="N99" i="47" s="1"/>
  <c r="J101" i="47"/>
  <c r="J102" i="47"/>
  <c r="J103" i="47"/>
  <c r="J104" i="47"/>
  <c r="J95" i="47"/>
  <c r="K98" i="47"/>
  <c r="M98" i="47"/>
  <c r="N98" i="47" s="1"/>
  <c r="M100" i="47"/>
  <c r="N100" i="47" s="1"/>
  <c r="M101" i="47"/>
  <c r="N101" i="47" s="1"/>
  <c r="M102" i="47"/>
  <c r="N102" i="47" s="1"/>
  <c r="M103" i="47"/>
  <c r="N103" i="47" s="1"/>
  <c r="M104" i="47"/>
  <c r="N104" i="47" s="1"/>
  <c r="M97" i="47"/>
  <c r="N97" i="47" s="1"/>
  <c r="F16" i="47"/>
  <c r="D21" i="47"/>
  <c r="E21" i="47"/>
  <c r="F21" i="47"/>
  <c r="F71" i="47"/>
  <c r="D71" i="47"/>
  <c r="E71" i="47"/>
  <c r="F89" i="47"/>
  <c r="D89" i="47"/>
  <c r="C89" i="47"/>
  <c r="E89" i="47"/>
  <c r="I98" i="47"/>
  <c r="X20" i="20"/>
  <c r="X26" i="20" s="1"/>
  <c r="X66" i="20"/>
  <c r="K99" i="47"/>
  <c r="I97" i="47"/>
  <c r="F88" i="47"/>
  <c r="E88" i="47" s="1"/>
  <c r="D88" i="47"/>
  <c r="C88" i="47"/>
  <c r="X56" i="20"/>
  <c r="W79" i="20"/>
  <c r="AH26" i="20"/>
  <c r="C79" i="47"/>
  <c r="V50" i="20"/>
  <c r="I66" i="20"/>
  <c r="U26" i="20"/>
  <c r="U24" i="20"/>
  <c r="U23" i="20"/>
  <c r="AG19" i="20"/>
  <c r="U20" i="20"/>
  <c r="U81" i="20"/>
  <c r="U76" i="20"/>
  <c r="U66" i="20"/>
  <c r="U47" i="20"/>
  <c r="U83" i="20" s="1"/>
  <c r="T38" i="20"/>
  <c r="U38" i="20"/>
  <c r="H83" i="20"/>
  <c r="I47" i="20"/>
  <c r="H47" i="20"/>
  <c r="H26" i="20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AB21" i="43"/>
  <c r="AC21" i="43"/>
  <c r="AD21" i="43"/>
  <c r="AE21" i="43"/>
  <c r="AF21" i="43"/>
  <c r="AG21" i="43"/>
  <c r="AH21" i="43"/>
  <c r="AI21" i="43"/>
  <c r="AJ21" i="43"/>
  <c r="AK21" i="43"/>
  <c r="AL21" i="43"/>
  <c r="AM21" i="43"/>
  <c r="AN21" i="43"/>
  <c r="AO21" i="43"/>
  <c r="AP21" i="43"/>
  <c r="AQ21" i="43"/>
  <c r="AR21" i="43"/>
  <c r="AS21" i="43"/>
  <c r="AT21" i="43"/>
  <c r="AU21" i="43"/>
  <c r="AV21" i="43"/>
  <c r="AW21" i="43"/>
  <c r="BA21" i="43"/>
  <c r="BB21" i="43"/>
  <c r="BC21" i="43"/>
  <c r="BD21" i="43"/>
  <c r="BE21" i="43"/>
  <c r="BF21" i="43"/>
  <c r="BG21" i="43"/>
  <c r="BH21" i="43"/>
  <c r="BI21" i="43"/>
  <c r="BJ21" i="43"/>
  <c r="BK21" i="43"/>
  <c r="BL21" i="43"/>
  <c r="BM21" i="43"/>
  <c r="BN21" i="43"/>
  <c r="H13" i="11"/>
  <c r="G13" i="11"/>
  <c r="F13" i="11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E15" i="43"/>
  <c r="F15" i="43"/>
  <c r="G15" i="43"/>
  <c r="H15" i="43"/>
  <c r="I15" i="43"/>
  <c r="J15" i="43"/>
  <c r="K15" i="43"/>
  <c r="L15" i="43"/>
  <c r="M15" i="43"/>
  <c r="N15" i="43"/>
  <c r="O15" i="43"/>
  <c r="D15" i="43"/>
  <c r="AH76" i="20"/>
  <c r="P61" i="43"/>
  <c r="C27" i="45"/>
  <c r="C21" i="43"/>
  <c r="C19" i="43"/>
  <c r="AH47" i="20" l="1"/>
  <c r="AI35" i="20"/>
  <c r="AJ35" i="20" s="1"/>
  <c r="O61" i="43"/>
  <c r="J61" i="43"/>
  <c r="F61" i="43"/>
  <c r="F33" i="45"/>
  <c r="E33" i="45"/>
  <c r="AK35" i="20" l="1"/>
  <c r="AL35" i="20" s="1"/>
  <c r="AM35" i="20" s="1"/>
  <c r="AN35" i="20" s="1"/>
  <c r="AO35" i="20" s="1"/>
  <c r="AP35" i="20" s="1"/>
  <c r="AJ47" i="20"/>
  <c r="AO13" i="20"/>
  <c r="AD74" i="20"/>
  <c r="AD73" i="20"/>
  <c r="AD72" i="20"/>
  <c r="AD71" i="20"/>
  <c r="AD70" i="20"/>
  <c r="AD69" i="20"/>
  <c r="AC74" i="20"/>
  <c r="AC73" i="20"/>
  <c r="AC72" i="20"/>
  <c r="AC71" i="20"/>
  <c r="AC70" i="20"/>
  <c r="AC69" i="20"/>
  <c r="AD56" i="20"/>
  <c r="U56" i="20"/>
  <c r="T56" i="20"/>
  <c r="AB53" i="20"/>
  <c r="AA53" i="20"/>
  <c r="Z53" i="20"/>
  <c r="Y53" i="20"/>
  <c r="X53" i="20"/>
  <c r="W53" i="20"/>
  <c r="V53" i="20"/>
  <c r="U53" i="20"/>
  <c r="T53" i="20"/>
  <c r="AD53" i="20"/>
  <c r="AC53" i="20"/>
  <c r="AD52" i="20"/>
  <c r="AC52" i="20"/>
  <c r="AD51" i="20"/>
  <c r="AC51" i="20"/>
  <c r="AD50" i="20"/>
  <c r="AC50" i="20"/>
  <c r="AC54" i="20"/>
  <c r="AD54" i="20"/>
  <c r="AD43" i="20"/>
  <c r="AD41" i="20"/>
  <c r="AD39" i="20"/>
  <c r="AC43" i="20"/>
  <c r="AC41" i="20"/>
  <c r="AC39" i="20"/>
  <c r="Y23" i="20"/>
  <c r="X23" i="20"/>
  <c r="AC13" i="20"/>
  <c r="AD13" i="20"/>
  <c r="AP13" i="20" s="1"/>
  <c r="Q40" i="20"/>
  <c r="P40" i="20"/>
  <c r="O40" i="20"/>
  <c r="N40" i="20"/>
  <c r="M40" i="20"/>
  <c r="AD40" i="20" s="1"/>
  <c r="M44" i="20"/>
  <c r="K44" i="20"/>
  <c r="K56" i="20"/>
  <c r="J56" i="20"/>
  <c r="I56" i="20"/>
  <c r="O28" i="11"/>
  <c r="N28" i="11"/>
  <c r="H27" i="11"/>
  <c r="I27" i="11" s="1"/>
  <c r="J27" i="11" s="1"/>
  <c r="K27" i="11" s="1"/>
  <c r="L27" i="11" s="1"/>
  <c r="M27" i="11" s="1"/>
  <c r="N27" i="11" s="1"/>
  <c r="O27" i="11" s="1"/>
  <c r="H26" i="11"/>
  <c r="I26" i="11" s="1"/>
  <c r="J26" i="11" s="1"/>
  <c r="K26" i="11" s="1"/>
  <c r="L26" i="11" s="1"/>
  <c r="M26" i="11" s="1"/>
  <c r="N26" i="11" s="1"/>
  <c r="G26" i="11"/>
  <c r="G27" i="11"/>
  <c r="AD24" i="20"/>
  <c r="AD23" i="20"/>
  <c r="AD22" i="20"/>
  <c r="AD21" i="20"/>
  <c r="AD20" i="20"/>
  <c r="AC24" i="20"/>
  <c r="AC23" i="20"/>
  <c r="AC22" i="20"/>
  <c r="AC21" i="20"/>
  <c r="AC20" i="20"/>
  <c r="AC26" i="20" s="1"/>
  <c r="Q76" i="20"/>
  <c r="Q34" i="20"/>
  <c r="Q33" i="20"/>
  <c r="Q32" i="20"/>
  <c r="Q30" i="20"/>
  <c r="Q26" i="20"/>
  <c r="P76" i="20"/>
  <c r="P34" i="20"/>
  <c r="P33" i="20"/>
  <c r="P32" i="20"/>
  <c r="P30" i="20"/>
  <c r="P26" i="20"/>
  <c r="O20" i="11"/>
  <c r="N20" i="11"/>
  <c r="Q31" i="11"/>
  <c r="Q23" i="11"/>
  <c r="Q22" i="11"/>
  <c r="O18" i="11"/>
  <c r="O15" i="11"/>
  <c r="N18" i="11"/>
  <c r="M18" i="11"/>
  <c r="L18" i="11"/>
  <c r="K18" i="11"/>
  <c r="J18" i="11"/>
  <c r="I18" i="11"/>
  <c r="H18" i="11"/>
  <c r="G18" i="11"/>
  <c r="F18" i="11"/>
  <c r="P52" i="19"/>
  <c r="P47" i="19"/>
  <c r="P25" i="19"/>
  <c r="P24" i="19"/>
  <c r="P23" i="19"/>
  <c r="P26" i="19" s="1"/>
  <c r="P27" i="19" s="1"/>
  <c r="P16" i="19"/>
  <c r="P21" i="19"/>
  <c r="P39" i="19" s="1"/>
  <c r="O52" i="19"/>
  <c r="O47" i="19"/>
  <c r="O25" i="19"/>
  <c r="O26" i="19" s="1"/>
  <c r="O27" i="19" s="1"/>
  <c r="N15" i="11" s="1"/>
  <c r="O24" i="19"/>
  <c r="O23" i="19"/>
  <c r="O21" i="19"/>
  <c r="O39" i="19" s="1"/>
  <c r="O15" i="19"/>
  <c r="T85" i="27"/>
  <c r="T84" i="27"/>
  <c r="T83" i="27"/>
  <c r="T82" i="27"/>
  <c r="T81" i="27"/>
  <c r="T74" i="27"/>
  <c r="T63" i="27"/>
  <c r="T66" i="27" s="1"/>
  <c r="T55" i="27"/>
  <c r="T58" i="27" s="1"/>
  <c r="T47" i="27"/>
  <c r="T50" i="27" s="1"/>
  <c r="T39" i="27"/>
  <c r="T42" i="27" s="1"/>
  <c r="T29" i="27"/>
  <c r="T30" i="27" s="1"/>
  <c r="T24" i="27"/>
  <c r="P15" i="19" s="1"/>
  <c r="T19" i="27"/>
  <c r="T14" i="27"/>
  <c r="S89" i="27"/>
  <c r="S85" i="27"/>
  <c r="S84" i="27"/>
  <c r="S83" i="27"/>
  <c r="S82" i="27"/>
  <c r="S81" i="27"/>
  <c r="S88" i="27" s="1"/>
  <c r="S74" i="27"/>
  <c r="S63" i="27"/>
  <c r="S66" i="27" s="1"/>
  <c r="S55" i="27"/>
  <c r="S58" i="27" s="1"/>
  <c r="S47" i="27"/>
  <c r="S50" i="27" s="1"/>
  <c r="S39" i="27"/>
  <c r="S42" i="27" s="1"/>
  <c r="S29" i="27"/>
  <c r="S30" i="27" s="1"/>
  <c r="S25" i="27"/>
  <c r="S24" i="27"/>
  <c r="S19" i="27"/>
  <c r="S14" i="27"/>
  <c r="C71" i="47"/>
  <c r="C53" i="47"/>
  <c r="C37" i="47"/>
  <c r="C21" i="47"/>
  <c r="N47" i="19"/>
  <c r="M47" i="19"/>
  <c r="L47" i="19"/>
  <c r="K47" i="19"/>
  <c r="G48" i="19"/>
  <c r="O16" i="19" l="1"/>
  <c r="AA56" i="20"/>
  <c r="T88" i="27"/>
  <c r="Y56" i="20"/>
  <c r="L56" i="20"/>
  <c r="AC56" i="20" s="1"/>
  <c r="T25" i="27"/>
  <c r="T87" i="27"/>
  <c r="T91" i="27" s="1"/>
  <c r="T89" i="27"/>
  <c r="S87" i="27"/>
  <c r="S91" i="27" s="1"/>
  <c r="Z56" i="20"/>
  <c r="AB56" i="20"/>
  <c r="AD26" i="20"/>
  <c r="AD76" i="20"/>
  <c r="V56" i="20"/>
  <c r="W56" i="20"/>
  <c r="AC76" i="20"/>
  <c r="AC40" i="20"/>
  <c r="Q66" i="20"/>
  <c r="P66" i="20"/>
  <c r="O26" i="11"/>
  <c r="O25" i="11" s="1"/>
  <c r="N25" i="11"/>
  <c r="T70" i="27"/>
  <c r="T95" i="27" s="1"/>
  <c r="T40" i="27"/>
  <c r="T48" i="27"/>
  <c r="T56" i="27"/>
  <c r="T64" i="27"/>
  <c r="T41" i="27"/>
  <c r="T49" i="27"/>
  <c r="T57" i="27"/>
  <c r="T65" i="27"/>
  <c r="S70" i="27"/>
  <c r="S95" i="27" s="1"/>
  <c r="S40" i="27"/>
  <c r="S48" i="27"/>
  <c r="S56" i="27"/>
  <c r="S64" i="27"/>
  <c r="S41" i="27"/>
  <c r="S49" i="27"/>
  <c r="S57" i="27"/>
  <c r="S65" i="27"/>
  <c r="T69" i="27" l="1"/>
  <c r="T94" i="27" s="1"/>
  <c r="T68" i="27"/>
  <c r="T72" i="27"/>
  <c r="T93" i="27"/>
  <c r="S69" i="27"/>
  <c r="S94" i="27" s="1"/>
  <c r="S68" i="27"/>
  <c r="S72" i="27" l="1"/>
  <c r="S93" i="27"/>
  <c r="I78" i="47" l="1"/>
  <c r="I80" i="47" s="1"/>
  <c r="I63" i="47"/>
  <c r="I64" i="47" s="1"/>
  <c r="B79" i="47"/>
  <c r="B80" i="47" s="1"/>
  <c r="B81" i="47" s="1"/>
  <c r="B82" i="47" s="1"/>
  <c r="B83" i="47" s="1"/>
  <c r="B84" i="47" s="1"/>
  <c r="B85" i="47" s="1"/>
  <c r="B86" i="47" s="1"/>
  <c r="B87" i="47" s="1"/>
  <c r="D42" i="34"/>
  <c r="F63" i="47" l="1"/>
  <c r="F64" i="47"/>
  <c r="F65" i="47"/>
  <c r="F62" i="47"/>
  <c r="I81" i="47"/>
  <c r="F87" i="47"/>
  <c r="F61" i="47"/>
  <c r="F83" i="47"/>
  <c r="F80" i="47"/>
  <c r="F84" i="47"/>
  <c r="F81" i="47"/>
  <c r="F85" i="47"/>
  <c r="F79" i="47"/>
  <c r="F82" i="47"/>
  <c r="F86" i="47"/>
  <c r="C33" i="45" l="1"/>
  <c r="B62" i="47"/>
  <c r="B63" i="47" s="1"/>
  <c r="B64" i="47" s="1"/>
  <c r="B65" i="47" s="1"/>
  <c r="B66" i="47" s="1"/>
  <c r="B67" i="47" s="1"/>
  <c r="B68" i="47" s="1"/>
  <c r="B69" i="47" s="1"/>
  <c r="B70" i="47" s="1"/>
  <c r="C61" i="47"/>
  <c r="D61" i="47" s="1"/>
  <c r="L45" i="20"/>
  <c r="K42" i="20"/>
  <c r="L44" i="20"/>
  <c r="J42" i="20"/>
  <c r="H42" i="20"/>
  <c r="I42" i="20"/>
  <c r="R74" i="27"/>
  <c r="Q74" i="27"/>
  <c r="P74" i="27"/>
  <c r="O74" i="27"/>
  <c r="N74" i="27"/>
  <c r="M74" i="27"/>
  <c r="L74" i="27"/>
  <c r="K74" i="27"/>
  <c r="E17" i="19"/>
  <c r="L11" i="27"/>
  <c r="C13" i="26"/>
  <c r="C16" i="26"/>
  <c r="AD45" i="20" l="1"/>
  <c r="AC45" i="20"/>
  <c r="N44" i="20"/>
  <c r="P44" i="20"/>
  <c r="O44" i="20"/>
  <c r="Q44" i="20"/>
  <c r="N42" i="20"/>
  <c r="O42" i="20"/>
  <c r="Q42" i="20"/>
  <c r="M42" i="20"/>
  <c r="P42" i="20"/>
  <c r="G20" i="11"/>
  <c r="U70" i="20"/>
  <c r="X69" i="20"/>
  <c r="U69" i="20"/>
  <c r="V33" i="20"/>
  <c r="V34" i="20"/>
  <c r="V32" i="20"/>
  <c r="V30" i="20"/>
  <c r="V21" i="20"/>
  <c r="V20" i="20"/>
  <c r="I76" i="20"/>
  <c r="I26" i="20"/>
  <c r="K26" i="20"/>
  <c r="J26" i="20"/>
  <c r="L26" i="20"/>
  <c r="M26" i="20"/>
  <c r="N26" i="20"/>
  <c r="O26" i="20"/>
  <c r="H76" i="20"/>
  <c r="AC44" i="20" l="1"/>
  <c r="AD42" i="20"/>
  <c r="AD44" i="20"/>
  <c r="AC42" i="20"/>
  <c r="D25" i="11"/>
  <c r="C36" i="43"/>
  <c r="C35" i="43"/>
  <c r="C32" i="43"/>
  <c r="C31" i="43"/>
  <c r="C30" i="43"/>
  <c r="C26" i="43"/>
  <c r="C27" i="43"/>
  <c r="H96" i="47"/>
  <c r="H97" i="47" s="1"/>
  <c r="H98" i="47" s="1"/>
  <c r="H99" i="47" s="1"/>
  <c r="H100" i="47" s="1"/>
  <c r="H101" i="47" s="1"/>
  <c r="H102" i="47" s="1"/>
  <c r="H103" i="47" s="1"/>
  <c r="H104" i="47" s="1"/>
  <c r="B44" i="47"/>
  <c r="B45" i="47" s="1"/>
  <c r="B46" i="47" s="1"/>
  <c r="B47" i="47" s="1"/>
  <c r="B48" i="47" s="1"/>
  <c r="B49" i="47" s="1"/>
  <c r="B50" i="47" s="1"/>
  <c r="B51" i="47" s="1"/>
  <c r="B52" i="47" s="1"/>
  <c r="B28" i="47"/>
  <c r="B29" i="47" s="1"/>
  <c r="B30" i="47" s="1"/>
  <c r="B31" i="47" s="1"/>
  <c r="B32" i="47" s="1"/>
  <c r="B33" i="47" s="1"/>
  <c r="B34" i="47" s="1"/>
  <c r="B35" i="47" s="1"/>
  <c r="B36" i="47" s="1"/>
  <c r="F46" i="43"/>
  <c r="F43" i="43"/>
  <c r="E11" i="45"/>
  <c r="F11" i="45"/>
  <c r="G11" i="45" s="1"/>
  <c r="H11" i="45" s="1"/>
  <c r="I11" i="45" s="1"/>
  <c r="J11" i="45" s="1"/>
  <c r="K11" i="45" s="1"/>
  <c r="D11" i="45"/>
  <c r="BL43" i="43"/>
  <c r="AZ43" i="43"/>
  <c r="AN43" i="43"/>
  <c r="AB43" i="43"/>
  <c r="P46" i="43"/>
  <c r="P43" i="43"/>
  <c r="AA23" i="20"/>
  <c r="AB23" i="20"/>
  <c r="Z23" i="20"/>
  <c r="Y20" i="20"/>
  <c r="X21" i="20"/>
  <c r="Y21" i="20"/>
  <c r="X22" i="20"/>
  <c r="Y22" i="20"/>
  <c r="X24" i="20"/>
  <c r="Y24" i="20"/>
  <c r="W20" i="20"/>
  <c r="W21" i="20"/>
  <c r="W22" i="20"/>
  <c r="W23" i="20"/>
  <c r="W24" i="20"/>
  <c r="B40" i="43"/>
  <c r="B38" i="43"/>
  <c r="BN35" i="43"/>
  <c r="BM35" i="43"/>
  <c r="BL35" i="43"/>
  <c r="BA35" i="43"/>
  <c r="BB35" i="43"/>
  <c r="BC35" i="43"/>
  <c r="BD35" i="43"/>
  <c r="BE35" i="43"/>
  <c r="BF35" i="43"/>
  <c r="BG35" i="43"/>
  <c r="BH35" i="43"/>
  <c r="BI35" i="43"/>
  <c r="BJ35" i="43"/>
  <c r="BK35" i="43"/>
  <c r="AZ35" i="43"/>
  <c r="AO35" i="43"/>
  <c r="AP35" i="43"/>
  <c r="AQ35" i="43"/>
  <c r="AR35" i="43"/>
  <c r="AS35" i="43"/>
  <c r="AT35" i="43"/>
  <c r="AU35" i="43"/>
  <c r="AV35" i="43"/>
  <c r="AW35" i="43"/>
  <c r="AX35" i="43"/>
  <c r="AY35" i="43"/>
  <c r="AN35" i="43"/>
  <c r="AC35" i="43"/>
  <c r="AD35" i="43"/>
  <c r="AE35" i="43"/>
  <c r="AF35" i="43"/>
  <c r="AG35" i="43"/>
  <c r="AH35" i="43"/>
  <c r="AI35" i="43"/>
  <c r="AJ35" i="43"/>
  <c r="AK35" i="43"/>
  <c r="AL35" i="43"/>
  <c r="AM35" i="43"/>
  <c r="AB35" i="43"/>
  <c r="Q35" i="43"/>
  <c r="R35" i="43"/>
  <c r="S35" i="43"/>
  <c r="T35" i="43"/>
  <c r="U35" i="43"/>
  <c r="V35" i="43"/>
  <c r="W35" i="43"/>
  <c r="X35" i="43"/>
  <c r="Y35" i="43"/>
  <c r="Z35" i="43"/>
  <c r="AA35" i="43"/>
  <c r="P35" i="43"/>
  <c r="O35" i="43"/>
  <c r="E35" i="43"/>
  <c r="F35" i="43"/>
  <c r="G35" i="43"/>
  <c r="H35" i="43"/>
  <c r="I35" i="43"/>
  <c r="J35" i="43"/>
  <c r="K35" i="43"/>
  <c r="L35" i="43"/>
  <c r="M35" i="43"/>
  <c r="N35" i="43"/>
  <c r="D35" i="43"/>
  <c r="E30" i="43"/>
  <c r="F30" i="43"/>
  <c r="G30" i="43"/>
  <c r="H30" i="43"/>
  <c r="I30" i="43"/>
  <c r="J30" i="43"/>
  <c r="K30" i="43"/>
  <c r="L30" i="43"/>
  <c r="M30" i="43"/>
  <c r="N30" i="43"/>
  <c r="O30" i="43"/>
  <c r="E31" i="43"/>
  <c r="F31" i="43"/>
  <c r="G31" i="43"/>
  <c r="H31" i="43"/>
  <c r="I31" i="43"/>
  <c r="J31" i="43"/>
  <c r="K31" i="43"/>
  <c r="L31" i="43"/>
  <c r="M31" i="43"/>
  <c r="N31" i="43"/>
  <c r="O31" i="43"/>
  <c r="D31" i="43"/>
  <c r="D30" i="43"/>
  <c r="BM25" i="43"/>
  <c r="BN25" i="43"/>
  <c r="BM26" i="43"/>
  <c r="BN26" i="43"/>
  <c r="BM27" i="43"/>
  <c r="BN27" i="43"/>
  <c r="BL26" i="43"/>
  <c r="BL27" i="43"/>
  <c r="BL25" i="43"/>
  <c r="BA25" i="43"/>
  <c r="BB25" i="43"/>
  <c r="BC25" i="43"/>
  <c r="BD25" i="43"/>
  <c r="BE25" i="43"/>
  <c r="BF25" i="43"/>
  <c r="BG25" i="43"/>
  <c r="BH25" i="43"/>
  <c r="BI25" i="43"/>
  <c r="BJ25" i="43"/>
  <c r="BK25" i="43"/>
  <c r="BA26" i="43"/>
  <c r="BB26" i="43"/>
  <c r="BC26" i="43"/>
  <c r="BD26" i="43"/>
  <c r="BE26" i="43"/>
  <c r="BF26" i="43"/>
  <c r="BG26" i="43"/>
  <c r="BH26" i="43"/>
  <c r="BI26" i="43"/>
  <c r="BJ26" i="43"/>
  <c r="BK26" i="43"/>
  <c r="BA27" i="43"/>
  <c r="BB27" i="43"/>
  <c r="BC27" i="43"/>
  <c r="BD27" i="43"/>
  <c r="BE27" i="43"/>
  <c r="BF27" i="43"/>
  <c r="BG27" i="43"/>
  <c r="BH27" i="43"/>
  <c r="BI27" i="43"/>
  <c r="BJ27" i="43"/>
  <c r="BK27" i="43"/>
  <c r="AZ26" i="43"/>
  <c r="AZ27" i="43"/>
  <c r="AZ25" i="43"/>
  <c r="AO25" i="43"/>
  <c r="AP25" i="43"/>
  <c r="AQ25" i="43"/>
  <c r="AR25" i="43"/>
  <c r="AS25" i="43"/>
  <c r="AT25" i="43"/>
  <c r="AU25" i="43"/>
  <c r="AV25" i="43"/>
  <c r="AW25" i="43"/>
  <c r="AX25" i="43"/>
  <c r="AY25" i="43"/>
  <c r="AO26" i="43"/>
  <c r="AP26" i="43"/>
  <c r="AQ26" i="43"/>
  <c r="AR26" i="43"/>
  <c r="AS26" i="43"/>
  <c r="AT26" i="43"/>
  <c r="AU26" i="43"/>
  <c r="AV26" i="43"/>
  <c r="AW26" i="43"/>
  <c r="AX26" i="43"/>
  <c r="AY26" i="43"/>
  <c r="AO27" i="43"/>
  <c r="AP27" i="43"/>
  <c r="AQ27" i="43"/>
  <c r="AR27" i="43"/>
  <c r="AS27" i="43"/>
  <c r="AT27" i="43"/>
  <c r="AU27" i="43"/>
  <c r="AV27" i="43"/>
  <c r="AW27" i="43"/>
  <c r="AX27" i="43"/>
  <c r="AY27" i="43"/>
  <c r="AN26" i="43"/>
  <c r="AN27" i="43"/>
  <c r="AN25" i="43"/>
  <c r="AC25" i="43"/>
  <c r="AD25" i="43"/>
  <c r="AE25" i="43"/>
  <c r="AF25" i="43"/>
  <c r="AG25" i="43"/>
  <c r="AH25" i="43"/>
  <c r="AI25" i="43"/>
  <c r="AJ25" i="43"/>
  <c r="AK25" i="43"/>
  <c r="AL25" i="43"/>
  <c r="AM25" i="43"/>
  <c r="AC26" i="43"/>
  <c r="AD26" i="43"/>
  <c r="AE26" i="43"/>
  <c r="AF26" i="43"/>
  <c r="AG26" i="43"/>
  <c r="AH26" i="43"/>
  <c r="AI26" i="43"/>
  <c r="AJ26" i="43"/>
  <c r="AK26" i="43"/>
  <c r="AL26" i="43"/>
  <c r="AM26" i="43"/>
  <c r="AC27" i="43"/>
  <c r="AD27" i="43"/>
  <c r="AE27" i="43"/>
  <c r="AF27" i="43"/>
  <c r="AG27" i="43"/>
  <c r="AH27" i="43"/>
  <c r="AI27" i="43"/>
  <c r="AJ27" i="43"/>
  <c r="AK27" i="43"/>
  <c r="AL27" i="43"/>
  <c r="AM27" i="43"/>
  <c r="AB26" i="43"/>
  <c r="AB27" i="43"/>
  <c r="AB25" i="43"/>
  <c r="Q25" i="43"/>
  <c r="R25" i="43"/>
  <c r="S25" i="43"/>
  <c r="T25" i="43"/>
  <c r="U25" i="43"/>
  <c r="V25" i="43"/>
  <c r="W25" i="43"/>
  <c r="X25" i="43"/>
  <c r="Y25" i="43"/>
  <c r="Z25" i="43"/>
  <c r="AA25" i="43"/>
  <c r="Q26" i="43"/>
  <c r="R26" i="43"/>
  <c r="S26" i="43"/>
  <c r="T26" i="43"/>
  <c r="U26" i="43"/>
  <c r="V26" i="43"/>
  <c r="W26" i="43"/>
  <c r="X26" i="43"/>
  <c r="Y26" i="43"/>
  <c r="Z26" i="43"/>
  <c r="AA26" i="43"/>
  <c r="Q27" i="43"/>
  <c r="R27" i="43"/>
  <c r="S27" i="43"/>
  <c r="T27" i="43"/>
  <c r="U27" i="43"/>
  <c r="V27" i="43"/>
  <c r="W27" i="43"/>
  <c r="X27" i="43"/>
  <c r="Y27" i="43"/>
  <c r="Z27" i="43"/>
  <c r="AA27" i="43"/>
  <c r="P26" i="43"/>
  <c r="P27" i="43"/>
  <c r="P25" i="43"/>
  <c r="E25" i="43"/>
  <c r="F25" i="43"/>
  <c r="G25" i="43"/>
  <c r="H25" i="43"/>
  <c r="I25" i="43"/>
  <c r="J25" i="43"/>
  <c r="K25" i="43"/>
  <c r="L25" i="43"/>
  <c r="M25" i="43"/>
  <c r="N25" i="43"/>
  <c r="O25" i="43"/>
  <c r="E26" i="43"/>
  <c r="F26" i="43"/>
  <c r="G26" i="43"/>
  <c r="H26" i="43"/>
  <c r="I26" i="43"/>
  <c r="J26" i="43"/>
  <c r="K26" i="43"/>
  <c r="L26" i="43"/>
  <c r="M26" i="43"/>
  <c r="N26" i="43"/>
  <c r="O26" i="43"/>
  <c r="E27" i="43"/>
  <c r="F27" i="43"/>
  <c r="G27" i="43"/>
  <c r="H27" i="43"/>
  <c r="I27" i="43"/>
  <c r="J27" i="43"/>
  <c r="K27" i="43"/>
  <c r="L27" i="43"/>
  <c r="M27" i="43"/>
  <c r="N27" i="43"/>
  <c r="O27" i="43"/>
  <c r="D26" i="43"/>
  <c r="D27" i="43"/>
  <c r="D25" i="43"/>
  <c r="BM19" i="43"/>
  <c r="BN19" i="43"/>
  <c r="BL19" i="43"/>
  <c r="BA19" i="43"/>
  <c r="BB19" i="43"/>
  <c r="BC19" i="43"/>
  <c r="BD19" i="43"/>
  <c r="BE19" i="43"/>
  <c r="BF19" i="43"/>
  <c r="BG19" i="43"/>
  <c r="BH19" i="43"/>
  <c r="BI19" i="43"/>
  <c r="BJ19" i="43"/>
  <c r="BK19" i="43"/>
  <c r="AZ19" i="43"/>
  <c r="AO19" i="43"/>
  <c r="AP19" i="43"/>
  <c r="AQ19" i="43"/>
  <c r="AR19" i="43"/>
  <c r="AS19" i="43"/>
  <c r="AT19" i="43"/>
  <c r="AU19" i="43"/>
  <c r="AV19" i="43"/>
  <c r="AW19" i="43"/>
  <c r="AX19" i="43"/>
  <c r="AY19" i="43"/>
  <c r="AN19" i="43"/>
  <c r="AC19" i="43"/>
  <c r="AD19" i="43"/>
  <c r="AE19" i="43"/>
  <c r="AF19" i="43"/>
  <c r="AG19" i="43"/>
  <c r="AH19" i="43"/>
  <c r="AI19" i="43"/>
  <c r="AJ19" i="43"/>
  <c r="AK19" i="43"/>
  <c r="AL19" i="43"/>
  <c r="AM19" i="43"/>
  <c r="AB19" i="43"/>
  <c r="AA19" i="43"/>
  <c r="Q19" i="43"/>
  <c r="R19" i="43"/>
  <c r="S19" i="43"/>
  <c r="T19" i="43"/>
  <c r="U19" i="43"/>
  <c r="V19" i="43"/>
  <c r="W19" i="43"/>
  <c r="X19" i="43"/>
  <c r="Y19" i="43"/>
  <c r="Z19" i="43"/>
  <c r="P19" i="43"/>
  <c r="W26" i="20" l="1"/>
  <c r="B34" i="43"/>
  <c r="B32" i="43"/>
  <c r="B31" i="43"/>
  <c r="B30" i="43"/>
  <c r="B29" i="43"/>
  <c r="B27" i="43"/>
  <c r="B26" i="43"/>
  <c r="B25" i="43"/>
  <c r="B14" i="43" l="1"/>
  <c r="B24" i="43"/>
  <c r="B19" i="43"/>
  <c r="B18" i="43"/>
  <c r="B17" i="43"/>
  <c r="B16" i="43"/>
  <c r="B15" i="43"/>
  <c r="E30" i="26" l="1"/>
  <c r="E37" i="26"/>
  <c r="E36" i="26"/>
  <c r="E28" i="26"/>
  <c r="E27" i="26"/>
  <c r="E24" i="26"/>
  <c r="M20" i="11"/>
  <c r="L20" i="11"/>
  <c r="K20" i="11"/>
  <c r="J20" i="11"/>
  <c r="I20" i="11"/>
  <c r="H20" i="11"/>
  <c r="F20" i="11"/>
  <c r="K11" i="11"/>
  <c r="BL10" i="43" s="1"/>
  <c r="L11" i="11"/>
  <c r="BM10" i="43" s="1"/>
  <c r="M11" i="11"/>
  <c r="BN10" i="43" s="1"/>
  <c r="I46" i="19"/>
  <c r="H46" i="19" s="1"/>
  <c r="H48" i="19" s="1"/>
  <c r="L46" i="19"/>
  <c r="K46" i="19"/>
  <c r="J46" i="19"/>
  <c r="E51" i="19" l="1"/>
  <c r="N52" i="19"/>
  <c r="M52" i="19"/>
  <c r="L52" i="19"/>
  <c r="K52" i="19"/>
  <c r="J52" i="19"/>
  <c r="I52" i="19"/>
  <c r="H52" i="19"/>
  <c r="G52" i="19"/>
  <c r="AA50" i="20"/>
  <c r="Y51" i="20"/>
  <c r="Z50" i="20"/>
  <c r="Y42" i="20"/>
  <c r="O33" i="20"/>
  <c r="N33" i="20"/>
  <c r="M33" i="20"/>
  <c r="L33" i="20"/>
  <c r="Y33" i="20" s="1"/>
  <c r="O32" i="20"/>
  <c r="N32" i="20"/>
  <c r="M32" i="20"/>
  <c r="L32" i="20"/>
  <c r="Y32" i="20" s="1"/>
  <c r="O30" i="20"/>
  <c r="N30" i="20"/>
  <c r="M30" i="20"/>
  <c r="L30" i="20"/>
  <c r="G38" i="20"/>
  <c r="AB74" i="20"/>
  <c r="AB73" i="20"/>
  <c r="AB72" i="20"/>
  <c r="AB71" i="20"/>
  <c r="AB70" i="20"/>
  <c r="AB69" i="20"/>
  <c r="AA74" i="20"/>
  <c r="AA73" i="20"/>
  <c r="AA72" i="20"/>
  <c r="AA71" i="20"/>
  <c r="AA70" i="20"/>
  <c r="AA69" i="20"/>
  <c r="Z74" i="20"/>
  <c r="Z73" i="20"/>
  <c r="Z72" i="20"/>
  <c r="Z71" i="20"/>
  <c r="Z70" i="20"/>
  <c r="Z69" i="20"/>
  <c r="Y74" i="20"/>
  <c r="Y73" i="20"/>
  <c r="Y72" i="20"/>
  <c r="Y71" i="20"/>
  <c r="Y70" i="20"/>
  <c r="Y69" i="20"/>
  <c r="X70" i="20"/>
  <c r="W69" i="20"/>
  <c r="T55" i="20"/>
  <c r="AB54" i="20"/>
  <c r="AA54" i="20"/>
  <c r="Z54" i="20"/>
  <c r="Y54" i="20"/>
  <c r="X54" i="20"/>
  <c r="W54" i="20"/>
  <c r="V54" i="20"/>
  <c r="U54" i="20"/>
  <c r="T54" i="20"/>
  <c r="Y52" i="20"/>
  <c r="X52" i="20"/>
  <c r="W52" i="20"/>
  <c r="V52" i="20"/>
  <c r="U52" i="20"/>
  <c r="T52" i="20"/>
  <c r="Z51" i="20"/>
  <c r="X51" i="20"/>
  <c r="W51" i="20"/>
  <c r="V51" i="20"/>
  <c r="U51" i="20"/>
  <c r="T51" i="20"/>
  <c r="X50" i="20"/>
  <c r="W50" i="20"/>
  <c r="U50" i="20"/>
  <c r="T50" i="20"/>
  <c r="X45" i="20"/>
  <c r="W45" i="20"/>
  <c r="V45" i="20"/>
  <c r="U45" i="20"/>
  <c r="T45" i="20"/>
  <c r="AF45" i="20" s="1"/>
  <c r="X44" i="20"/>
  <c r="W44" i="20"/>
  <c r="V44" i="20"/>
  <c r="U44" i="20"/>
  <c r="T44" i="20"/>
  <c r="X43" i="20"/>
  <c r="W43" i="20"/>
  <c r="V43" i="20"/>
  <c r="U43" i="20"/>
  <c r="T43" i="20"/>
  <c r="X42" i="20"/>
  <c r="W42" i="20"/>
  <c r="V42" i="20"/>
  <c r="U42" i="20"/>
  <c r="T42" i="20"/>
  <c r="X41" i="20"/>
  <c r="W41" i="20"/>
  <c r="V41" i="20"/>
  <c r="U41" i="20"/>
  <c r="T41" i="20"/>
  <c r="X40" i="20"/>
  <c r="W40" i="20"/>
  <c r="V40" i="20"/>
  <c r="U40" i="20"/>
  <c r="T40" i="20"/>
  <c r="X39" i="20"/>
  <c r="W39" i="20"/>
  <c r="V39" i="20"/>
  <c r="U39" i="20"/>
  <c r="T39" i="20"/>
  <c r="U34" i="20"/>
  <c r="T34" i="20"/>
  <c r="X33" i="20"/>
  <c r="W33" i="20"/>
  <c r="U33" i="20"/>
  <c r="T33" i="20"/>
  <c r="X32" i="20"/>
  <c r="W32" i="20"/>
  <c r="U32" i="20"/>
  <c r="T32" i="20"/>
  <c r="U31" i="20"/>
  <c r="T31" i="20"/>
  <c r="X30" i="20"/>
  <c r="W30" i="20"/>
  <c r="U30" i="20"/>
  <c r="T30" i="20"/>
  <c r="T29" i="20"/>
  <c r="AB20" i="20"/>
  <c r="W13" i="20"/>
  <c r="AI13" i="20" s="1"/>
  <c r="X13" i="20"/>
  <c r="AJ13" i="20" s="1"/>
  <c r="Y13" i="20"/>
  <c r="AK13" i="20" s="1"/>
  <c r="Z13" i="20"/>
  <c r="AL13" i="20" s="1"/>
  <c r="AA13" i="20"/>
  <c r="AM13" i="20" s="1"/>
  <c r="AB13" i="20"/>
  <c r="AN13" i="20" s="1"/>
  <c r="O76" i="20"/>
  <c r="BN46" i="43" s="1"/>
  <c r="N76" i="20"/>
  <c r="BM46" i="43" s="1"/>
  <c r="M76" i="20"/>
  <c r="BL46" i="43" s="1"/>
  <c r="L55" i="20"/>
  <c r="K55" i="20"/>
  <c r="J55" i="20"/>
  <c r="I55" i="20"/>
  <c r="H55" i="20"/>
  <c r="H38" i="20"/>
  <c r="I38" i="20"/>
  <c r="AF44" i="20"/>
  <c r="I85" i="27"/>
  <c r="I89" i="27" s="1"/>
  <c r="I84" i="27"/>
  <c r="E33" i="19" s="1"/>
  <c r="I83" i="27"/>
  <c r="E32" i="19" s="1"/>
  <c r="I82" i="27"/>
  <c r="E31" i="19" s="1"/>
  <c r="I81" i="27"/>
  <c r="E30" i="19" s="1"/>
  <c r="C16" i="19"/>
  <c r="I28" i="26"/>
  <c r="J28" i="26" s="1"/>
  <c r="K28" i="26" s="1"/>
  <c r="L28" i="26" s="1"/>
  <c r="L13" i="26"/>
  <c r="K13" i="26"/>
  <c r="J13" i="26"/>
  <c r="I13" i="26"/>
  <c r="H13" i="26"/>
  <c r="G13" i="26"/>
  <c r="F13" i="26"/>
  <c r="G31" i="34"/>
  <c r="H31" i="34" s="1"/>
  <c r="I31" i="34" s="1"/>
  <c r="J31" i="34" s="1"/>
  <c r="K31" i="34" s="1"/>
  <c r="L31" i="34" s="1"/>
  <c r="M31" i="34" s="1"/>
  <c r="G30" i="34"/>
  <c r="H30" i="34" s="1"/>
  <c r="I30" i="34" s="1"/>
  <c r="J30" i="34" s="1"/>
  <c r="K30" i="34" s="1"/>
  <c r="L30" i="34" s="1"/>
  <c r="M30" i="34" s="1"/>
  <c r="G29" i="34"/>
  <c r="H29" i="34" s="1"/>
  <c r="I29" i="34" s="1"/>
  <c r="J29" i="34" s="1"/>
  <c r="K29" i="34" s="1"/>
  <c r="L29" i="34" s="1"/>
  <c r="M29" i="34" s="1"/>
  <c r="D45" i="34"/>
  <c r="D41" i="11" s="1"/>
  <c r="G17" i="34"/>
  <c r="H17" i="34" s="1"/>
  <c r="I17" i="34" s="1"/>
  <c r="J17" i="34" s="1"/>
  <c r="K17" i="34" s="1"/>
  <c r="L17" i="34" s="1"/>
  <c r="M17" i="34" s="1"/>
  <c r="D35" i="34"/>
  <c r="W38" i="20" l="1"/>
  <c r="M38" i="20"/>
  <c r="AD38" i="20" s="1"/>
  <c r="Q38" i="20"/>
  <c r="P38" i="20"/>
  <c r="O38" i="20"/>
  <c r="N38" i="20"/>
  <c r="AC38" i="20" s="1"/>
  <c r="G47" i="20"/>
  <c r="C44" i="43" s="1"/>
  <c r="V38" i="20"/>
  <c r="E52" i="19"/>
  <c r="D18" i="11"/>
  <c r="Q18" i="11" s="1"/>
  <c r="U55" i="20"/>
  <c r="AD55" i="20"/>
  <c r="AC55" i="20"/>
  <c r="AD30" i="20"/>
  <c r="AC30" i="20"/>
  <c r="AC32" i="20"/>
  <c r="AD32" i="20"/>
  <c r="AC33" i="20"/>
  <c r="AD33" i="20"/>
  <c r="Y76" i="20"/>
  <c r="Z76" i="20"/>
  <c r="AB76" i="20"/>
  <c r="AA40" i="20"/>
  <c r="AB52" i="20"/>
  <c r="AA76" i="20"/>
  <c r="AA45" i="43"/>
  <c r="AB33" i="20"/>
  <c r="AA39" i="20"/>
  <c r="Z40" i="20"/>
  <c r="Z41" i="20"/>
  <c r="X38" i="20"/>
  <c r="AG44" i="20"/>
  <c r="AH44" i="20" s="1"/>
  <c r="AI44" i="20" s="1"/>
  <c r="AJ44" i="20" s="1"/>
  <c r="AB30" i="20"/>
  <c r="Z44" i="20"/>
  <c r="AB43" i="20"/>
  <c r="AB42" i="20"/>
  <c r="AA55" i="20"/>
  <c r="AB55" i="20"/>
  <c r="E34" i="19"/>
  <c r="E35" i="19" s="1"/>
  <c r="E36" i="19" s="1"/>
  <c r="X55" i="20"/>
  <c r="V55" i="20"/>
  <c r="Y55" i="20"/>
  <c r="Z55" i="20"/>
  <c r="W55" i="20"/>
  <c r="I88" i="27"/>
  <c r="AB50" i="20"/>
  <c r="AA51" i="20"/>
  <c r="Z52" i="20"/>
  <c r="Y50" i="20"/>
  <c r="AB51" i="20"/>
  <c r="AA52" i="20"/>
  <c r="AA43" i="20"/>
  <c r="AA44" i="20"/>
  <c r="Y38" i="20"/>
  <c r="Z39" i="20"/>
  <c r="Z32" i="20"/>
  <c r="Y45" i="20"/>
  <c r="AB45" i="20"/>
  <c r="AA45" i="20"/>
  <c r="Z45" i="20"/>
  <c r="Y39" i="20"/>
  <c r="Y30" i="20"/>
  <c r="AA32" i="20"/>
  <c r="Z33" i="20"/>
  <c r="AB40" i="20"/>
  <c r="AA41" i="20"/>
  <c r="Z42" i="20"/>
  <c r="Y43" i="20"/>
  <c r="AB44" i="20"/>
  <c r="Z30" i="20"/>
  <c r="AB32" i="20"/>
  <c r="AA33" i="20"/>
  <c r="Y40" i="20"/>
  <c r="AB41" i="20"/>
  <c r="AA42" i="20"/>
  <c r="Z43" i="20"/>
  <c r="Y44" i="20"/>
  <c r="AA30" i="20"/>
  <c r="Y41" i="20"/>
  <c r="AB39" i="20"/>
  <c r="AG45" i="20"/>
  <c r="AH45" i="20" s="1"/>
  <c r="AI45" i="20" s="1"/>
  <c r="AJ45" i="20" s="1"/>
  <c r="I87" i="27"/>
  <c r="D13" i="34"/>
  <c r="D21" i="11"/>
  <c r="Q21" i="11" s="1"/>
  <c r="D33" i="34"/>
  <c r="D40" i="11"/>
  <c r="AC66" i="20" l="1"/>
  <c r="AD66" i="20"/>
  <c r="M66" i="20"/>
  <c r="BL45" i="43" s="1"/>
  <c r="Q20" i="11"/>
  <c r="D20" i="11"/>
  <c r="C25" i="43"/>
  <c r="AL45" i="20"/>
  <c r="AM45" i="20" s="1"/>
  <c r="AN45" i="20" s="1"/>
  <c r="AO45" i="20" s="1"/>
  <c r="AP45" i="20" s="1"/>
  <c r="AB38" i="20"/>
  <c r="Z38" i="20"/>
  <c r="AK44" i="20"/>
  <c r="AL44" i="20" s="1"/>
  <c r="AM44" i="20" s="1"/>
  <c r="AN44" i="20" s="1"/>
  <c r="AO44" i="20" s="1"/>
  <c r="AP44" i="20" s="1"/>
  <c r="AA38" i="20"/>
  <c r="I91" i="27"/>
  <c r="O66" i="20"/>
  <c r="BN45" i="43" s="1"/>
  <c r="N66" i="20"/>
  <c r="BM45" i="43" s="1"/>
  <c r="I66" i="27" l="1"/>
  <c r="I65" i="27"/>
  <c r="I64" i="27"/>
  <c r="R63" i="27"/>
  <c r="R66" i="27" s="1"/>
  <c r="Q63" i="27"/>
  <c r="Q65" i="27" s="1"/>
  <c r="P63" i="27"/>
  <c r="P64" i="27" s="1"/>
  <c r="O63" i="27"/>
  <c r="O65" i="27" s="1"/>
  <c r="N63" i="27"/>
  <c r="N66" i="27" s="1"/>
  <c r="M63" i="27"/>
  <c r="M66" i="27" s="1"/>
  <c r="L63" i="27"/>
  <c r="L64" i="27" s="1"/>
  <c r="K63" i="27"/>
  <c r="K65" i="27" s="1"/>
  <c r="I32" i="27"/>
  <c r="R29" i="27"/>
  <c r="Q29" i="27"/>
  <c r="P29" i="27"/>
  <c r="O29" i="27"/>
  <c r="N29" i="27"/>
  <c r="M29" i="27"/>
  <c r="L29" i="27"/>
  <c r="K29" i="27"/>
  <c r="AB24" i="20"/>
  <c r="AA24" i="20"/>
  <c r="Z24" i="20"/>
  <c r="AB22" i="20"/>
  <c r="AA22" i="20"/>
  <c r="Z22" i="20"/>
  <c r="AB21" i="20"/>
  <c r="AA21" i="20"/>
  <c r="Z21" i="20"/>
  <c r="AA20" i="20"/>
  <c r="Z20" i="20"/>
  <c r="D26" i="34"/>
  <c r="D38" i="11" s="1"/>
  <c r="M10" i="34"/>
  <c r="L10" i="34"/>
  <c r="K10" i="34"/>
  <c r="F14" i="26"/>
  <c r="E14" i="26"/>
  <c r="E13" i="26"/>
  <c r="L37" i="26"/>
  <c r="L11" i="26"/>
  <c r="L22" i="26" s="1"/>
  <c r="K37" i="26"/>
  <c r="K11" i="26"/>
  <c r="K22" i="26" s="1"/>
  <c r="J37" i="26"/>
  <c r="J11" i="26"/>
  <c r="J22" i="26" s="1"/>
  <c r="L23" i="19"/>
  <c r="M23" i="19"/>
  <c r="N23" i="19"/>
  <c r="L24" i="19"/>
  <c r="M24" i="19"/>
  <c r="N24" i="19"/>
  <c r="L25" i="19"/>
  <c r="M25" i="19"/>
  <c r="N25" i="19"/>
  <c r="L15" i="19"/>
  <c r="L11" i="19"/>
  <c r="L21" i="19" s="1"/>
  <c r="L39" i="19" s="1"/>
  <c r="M11" i="19"/>
  <c r="M21" i="19" s="1"/>
  <c r="M39" i="19" s="1"/>
  <c r="N11" i="19"/>
  <c r="N21" i="19" s="1"/>
  <c r="N39" i="19" s="1"/>
  <c r="R85" i="27"/>
  <c r="R89" i="27" s="1"/>
  <c r="R84" i="27"/>
  <c r="R83" i="27"/>
  <c r="R82" i="27"/>
  <c r="R81" i="27"/>
  <c r="R55" i="27"/>
  <c r="R57" i="27" s="1"/>
  <c r="R47" i="27"/>
  <c r="R49" i="27" s="1"/>
  <c r="R39" i="27"/>
  <c r="R41" i="27" s="1"/>
  <c r="R24" i="27"/>
  <c r="R25" i="27" s="1"/>
  <c r="R19" i="27"/>
  <c r="R14" i="27"/>
  <c r="Q85" i="27"/>
  <c r="Q89" i="27" s="1"/>
  <c r="Q84" i="27"/>
  <c r="Q83" i="27"/>
  <c r="Q82" i="27"/>
  <c r="Q81" i="27"/>
  <c r="Q55" i="27"/>
  <c r="Q57" i="27" s="1"/>
  <c r="Q47" i="27"/>
  <c r="Q49" i="27" s="1"/>
  <c r="Q39" i="27"/>
  <c r="Q41" i="27" s="1"/>
  <c r="Q24" i="27"/>
  <c r="Q25" i="27" s="1"/>
  <c r="Q19" i="27"/>
  <c r="Q14" i="27"/>
  <c r="P85" i="27"/>
  <c r="P89" i="27" s="1"/>
  <c r="P84" i="27"/>
  <c r="P83" i="27"/>
  <c r="P82" i="27"/>
  <c r="P81" i="27"/>
  <c r="P58" i="27"/>
  <c r="P55" i="27"/>
  <c r="P57" i="27" s="1"/>
  <c r="P47" i="27"/>
  <c r="P49" i="27" s="1"/>
  <c r="P39" i="27"/>
  <c r="P41" i="27" s="1"/>
  <c r="P24" i="27"/>
  <c r="P25" i="27" s="1"/>
  <c r="P19" i="27"/>
  <c r="P14" i="27"/>
  <c r="R42" i="27" l="1"/>
  <c r="R58" i="27"/>
  <c r="M65" i="27"/>
  <c r="P48" i="27"/>
  <c r="R50" i="27"/>
  <c r="M64" i="27"/>
  <c r="K66" i="27"/>
  <c r="Q69" i="27"/>
  <c r="N30" i="27"/>
  <c r="J16" i="19"/>
  <c r="R30" i="27"/>
  <c r="N16" i="19"/>
  <c r="P66" i="27"/>
  <c r="P40" i="27"/>
  <c r="P50" i="27"/>
  <c r="P70" i="27" s="1"/>
  <c r="P95" i="27" s="1"/>
  <c r="Q50" i="27"/>
  <c r="K30" i="27"/>
  <c r="G16" i="19"/>
  <c r="O30" i="27"/>
  <c r="K16" i="19"/>
  <c r="Q64" i="27"/>
  <c r="P65" i="27"/>
  <c r="P69" i="27" s="1"/>
  <c r="L66" i="27"/>
  <c r="Q66" i="27"/>
  <c r="N15" i="19"/>
  <c r="L30" i="27"/>
  <c r="H16" i="19"/>
  <c r="P30" i="27"/>
  <c r="L16" i="19"/>
  <c r="P42" i="27"/>
  <c r="P56" i="27"/>
  <c r="P68" i="27" s="1"/>
  <c r="Q42" i="27"/>
  <c r="Q58" i="27"/>
  <c r="M15" i="19"/>
  <c r="M30" i="27"/>
  <c r="I16" i="19"/>
  <c r="Q30" i="27"/>
  <c r="M16" i="19"/>
  <c r="L65" i="27"/>
  <c r="O66" i="27"/>
  <c r="P88" i="27"/>
  <c r="R88" i="27"/>
  <c r="Q88" i="27"/>
  <c r="AB26" i="20"/>
  <c r="R70" i="27"/>
  <c r="R95" i="27" s="1"/>
  <c r="Q70" i="27"/>
  <c r="Q95" i="27" s="1"/>
  <c r="Q87" i="27"/>
  <c r="P87" i="27"/>
  <c r="R87" i="27"/>
  <c r="Q94" i="27"/>
  <c r="N64" i="27"/>
  <c r="R64" i="27"/>
  <c r="K64" i="27"/>
  <c r="O64" i="27"/>
  <c r="N65" i="27"/>
  <c r="R65" i="27"/>
  <c r="R69" i="27" s="1"/>
  <c r="Z26" i="20"/>
  <c r="AA26" i="20"/>
  <c r="N26" i="19"/>
  <c r="N27" i="19" s="1"/>
  <c r="M15" i="11" s="1"/>
  <c r="BN16" i="43" s="1"/>
  <c r="M26" i="19"/>
  <c r="M27" i="19" s="1"/>
  <c r="L15" i="11" s="1"/>
  <c r="BM16" i="43" s="1"/>
  <c r="L26" i="19"/>
  <c r="L27" i="19" s="1"/>
  <c r="K15" i="11" s="1"/>
  <c r="BL16" i="43" s="1"/>
  <c r="R40" i="27"/>
  <c r="R48" i="27"/>
  <c r="R56" i="27"/>
  <c r="Q40" i="27"/>
  <c r="Q48" i="27"/>
  <c r="Q56" i="27"/>
  <c r="AF56" i="20"/>
  <c r="AG56" i="20" s="1"/>
  <c r="AF55" i="20"/>
  <c r="AF54" i="20"/>
  <c r="AG54" i="20" s="1"/>
  <c r="AH54" i="20" s="1"/>
  <c r="AF52" i="20"/>
  <c r="H66" i="20"/>
  <c r="J31" i="20"/>
  <c r="J47" i="20" s="1"/>
  <c r="I31" i="20"/>
  <c r="I29" i="20"/>
  <c r="H29" i="20"/>
  <c r="W70" i="20"/>
  <c r="V70" i="20"/>
  <c r="T70" i="20"/>
  <c r="V69" i="20"/>
  <c r="T69" i="20"/>
  <c r="G26" i="20"/>
  <c r="C43" i="43" s="1"/>
  <c r="G66" i="20"/>
  <c r="C45" i="43" s="1"/>
  <c r="G76" i="20"/>
  <c r="C46" i="43" s="1"/>
  <c r="I45" i="47"/>
  <c r="C43" i="47"/>
  <c r="D43" i="47" s="1"/>
  <c r="I95" i="47" s="1"/>
  <c r="C16" i="47"/>
  <c r="Q31" i="20" l="1"/>
  <c r="P31" i="20"/>
  <c r="AM44" i="43"/>
  <c r="AB44" i="43"/>
  <c r="P29" i="20"/>
  <c r="P47" i="20" s="1"/>
  <c r="P79" i="20" s="1"/>
  <c r="P81" i="20" s="1"/>
  <c r="P83" i="20" s="1"/>
  <c r="Q29" i="20"/>
  <c r="Q47" i="20" s="1"/>
  <c r="Q79" i="20" s="1"/>
  <c r="Q81" i="20" s="1"/>
  <c r="Q83" i="20" s="1"/>
  <c r="V29" i="20"/>
  <c r="Q91" i="27"/>
  <c r="O45" i="43"/>
  <c r="T30" i="43"/>
  <c r="X30" i="43"/>
  <c r="P30" i="43"/>
  <c r="AA30" i="43"/>
  <c r="Q30" i="43"/>
  <c r="U30" i="43"/>
  <c r="Y30" i="43"/>
  <c r="W30" i="43"/>
  <c r="R30" i="43"/>
  <c r="V30" i="43"/>
  <c r="Z30" i="43"/>
  <c r="S30" i="43"/>
  <c r="Q31" i="43"/>
  <c r="U31" i="43"/>
  <c r="Y31" i="43"/>
  <c r="P31" i="43"/>
  <c r="R31" i="43"/>
  <c r="V31" i="43"/>
  <c r="Z31" i="43"/>
  <c r="X31" i="43"/>
  <c r="S31" i="43"/>
  <c r="W31" i="43"/>
  <c r="AA31" i="43"/>
  <c r="T31" i="43"/>
  <c r="I46" i="47"/>
  <c r="D16" i="47"/>
  <c r="D61" i="43"/>
  <c r="N29" i="20"/>
  <c r="W29" i="20"/>
  <c r="O29" i="20"/>
  <c r="X29" i="20"/>
  <c r="M29" i="20"/>
  <c r="L29" i="20"/>
  <c r="Y29" i="20"/>
  <c r="U29" i="20"/>
  <c r="N34" i="20"/>
  <c r="X34" i="20"/>
  <c r="W34" i="20"/>
  <c r="M34" i="20"/>
  <c r="L34" i="20"/>
  <c r="Y34" i="20" s="1"/>
  <c r="O34" i="20"/>
  <c r="N31" i="20"/>
  <c r="W31" i="20"/>
  <c r="V31" i="20"/>
  <c r="V47" i="20" s="1"/>
  <c r="O31" i="20"/>
  <c r="X31" i="20"/>
  <c r="M31" i="20"/>
  <c r="L31" i="20"/>
  <c r="Y31" i="20" s="1"/>
  <c r="P94" i="27"/>
  <c r="Q68" i="27"/>
  <c r="R91" i="27"/>
  <c r="R94" i="27"/>
  <c r="P93" i="27"/>
  <c r="AH56" i="20"/>
  <c r="AI56" i="20" s="1"/>
  <c r="AJ56" i="20" s="1"/>
  <c r="AK56" i="20" s="1"/>
  <c r="AL56" i="20" s="1"/>
  <c r="AM56" i="20" s="1"/>
  <c r="AN56" i="20" s="1"/>
  <c r="AO56" i="20" s="1"/>
  <c r="AP56" i="20" s="1"/>
  <c r="R68" i="27"/>
  <c r="P91" i="27"/>
  <c r="AA66" i="20"/>
  <c r="Z66" i="20"/>
  <c r="AB66" i="20"/>
  <c r="P72" i="27"/>
  <c r="AG55" i="20"/>
  <c r="AI54" i="20"/>
  <c r="AJ54" i="20" s="1"/>
  <c r="AK54" i="20" s="1"/>
  <c r="AL54" i="20" s="1"/>
  <c r="AM54" i="20" s="1"/>
  <c r="AN54" i="20" s="1"/>
  <c r="AO54" i="20" s="1"/>
  <c r="AP54" i="20" s="1"/>
  <c r="AG52" i="20"/>
  <c r="AH52" i="20" s="1"/>
  <c r="AI52" i="20" s="1"/>
  <c r="AJ52" i="20" s="1"/>
  <c r="AK52" i="20" s="1"/>
  <c r="AL52" i="20" s="1"/>
  <c r="AM52" i="20" s="1"/>
  <c r="AN52" i="20" s="1"/>
  <c r="AO52" i="20" s="1"/>
  <c r="AP52" i="20" s="1"/>
  <c r="F46" i="47"/>
  <c r="F50" i="47"/>
  <c r="F44" i="47"/>
  <c r="F47" i="47"/>
  <c r="F43" i="47"/>
  <c r="F48" i="47"/>
  <c r="F45" i="47"/>
  <c r="F49" i="47"/>
  <c r="E43" i="47"/>
  <c r="J24" i="34"/>
  <c r="K24" i="34" s="1"/>
  <c r="L24" i="34" s="1"/>
  <c r="M24" i="34" s="1"/>
  <c r="J22" i="34"/>
  <c r="K22" i="34" s="1"/>
  <c r="L22" i="34" s="1"/>
  <c r="M22" i="34" s="1"/>
  <c r="G35" i="34"/>
  <c r="H35" i="34" s="1"/>
  <c r="I35" i="34" s="1"/>
  <c r="J35" i="34" s="1"/>
  <c r="K35" i="34" s="1"/>
  <c r="L35" i="34" s="1"/>
  <c r="M35" i="34" s="1"/>
  <c r="F36" i="34"/>
  <c r="G36" i="34" s="1"/>
  <c r="H36" i="34" s="1"/>
  <c r="I36" i="34" s="1"/>
  <c r="J36" i="34" s="1"/>
  <c r="K36" i="34" s="1"/>
  <c r="L36" i="34" s="1"/>
  <c r="M36" i="34" s="1"/>
  <c r="F13" i="34"/>
  <c r="G13" i="34" s="1"/>
  <c r="H13" i="34" s="1"/>
  <c r="I13" i="34" s="1"/>
  <c r="J13" i="34" s="1"/>
  <c r="K13" i="34" s="1"/>
  <c r="L13" i="34" s="1"/>
  <c r="M13" i="34" s="1"/>
  <c r="C28" i="26"/>
  <c r="C24" i="26"/>
  <c r="H28" i="26"/>
  <c r="G28" i="26"/>
  <c r="F36" i="26"/>
  <c r="G36" i="26" s="1"/>
  <c r="H36" i="26" s="1"/>
  <c r="I36" i="26" s="1"/>
  <c r="J36" i="26" s="1"/>
  <c r="K36" i="26" s="1"/>
  <c r="L36" i="26" s="1"/>
  <c r="I37" i="26"/>
  <c r="H37" i="26"/>
  <c r="G37" i="26"/>
  <c r="F37" i="26"/>
  <c r="F34" i="26"/>
  <c r="G34" i="26" s="1"/>
  <c r="H34" i="26" s="1"/>
  <c r="I34" i="26" s="1"/>
  <c r="J34" i="26" s="1"/>
  <c r="K34" i="26" s="1"/>
  <c r="L34" i="26" s="1"/>
  <c r="F33" i="26"/>
  <c r="G33" i="26" s="1"/>
  <c r="H33" i="26" s="1"/>
  <c r="I33" i="26" s="1"/>
  <c r="J33" i="26" s="1"/>
  <c r="K33" i="26" s="1"/>
  <c r="L33" i="26" s="1"/>
  <c r="F32" i="26"/>
  <c r="G32" i="26" s="1"/>
  <c r="H32" i="26" s="1"/>
  <c r="I32" i="26" s="1"/>
  <c r="J32" i="26" s="1"/>
  <c r="K32" i="26" s="1"/>
  <c r="L32" i="26" s="1"/>
  <c r="F29" i="26"/>
  <c r="G29" i="26" s="1"/>
  <c r="H29" i="26" s="1"/>
  <c r="I29" i="26" s="1"/>
  <c r="J29" i="26" s="1"/>
  <c r="K29" i="26" s="1"/>
  <c r="L29" i="26" s="1"/>
  <c r="F28" i="26"/>
  <c r="F27" i="26"/>
  <c r="G27" i="26" s="1"/>
  <c r="H27" i="26" s="1"/>
  <c r="I27" i="26" s="1"/>
  <c r="J27" i="26" s="1"/>
  <c r="K27" i="26" s="1"/>
  <c r="L27" i="26" s="1"/>
  <c r="H24" i="26"/>
  <c r="I24" i="26" s="1"/>
  <c r="J24" i="26" s="1"/>
  <c r="K24" i="26" s="1"/>
  <c r="L24" i="26" s="1"/>
  <c r="M24" i="26" s="1"/>
  <c r="M39" i="26" l="1"/>
  <c r="M41" i="26" s="1"/>
  <c r="N34" i="11" s="1"/>
  <c r="N24" i="26"/>
  <c r="N39" i="26" s="1"/>
  <c r="N41" i="26" s="1"/>
  <c r="O34" i="11" s="1"/>
  <c r="O44" i="43"/>
  <c r="J44" i="43"/>
  <c r="AA44" i="43"/>
  <c r="P44" i="43"/>
  <c r="I79" i="20"/>
  <c r="H79" i="20"/>
  <c r="H81" i="20" s="1"/>
  <c r="AD29" i="20"/>
  <c r="AC29" i="20"/>
  <c r="AD31" i="20"/>
  <c r="AC31" i="20"/>
  <c r="AD34" i="20"/>
  <c r="AC34" i="20"/>
  <c r="AC31" i="43"/>
  <c r="AG31" i="43"/>
  <c r="AK31" i="43"/>
  <c r="AB31" i="43"/>
  <c r="AD31" i="43"/>
  <c r="AH31" i="43"/>
  <c r="AL31" i="43"/>
  <c r="AJ31" i="43"/>
  <c r="AE31" i="43"/>
  <c r="AI31" i="43"/>
  <c r="AM31" i="43"/>
  <c r="AF31" i="43"/>
  <c r="AF30" i="43"/>
  <c r="AJ30" i="43"/>
  <c r="AB30" i="43"/>
  <c r="AE30" i="43"/>
  <c r="AC30" i="43"/>
  <c r="AG30" i="43"/>
  <c r="AK30" i="43"/>
  <c r="AI30" i="43"/>
  <c r="AD30" i="43"/>
  <c r="AH30" i="43"/>
  <c r="AL30" i="43"/>
  <c r="AM30" i="43"/>
  <c r="E61" i="47"/>
  <c r="C62" i="47" s="1"/>
  <c r="D62" i="47" s="1"/>
  <c r="Z29" i="20"/>
  <c r="AB31" i="20"/>
  <c r="AA31" i="20"/>
  <c r="O47" i="20"/>
  <c r="Z31" i="20"/>
  <c r="L47" i="20"/>
  <c r="AB34" i="20"/>
  <c r="M47" i="20"/>
  <c r="M79" i="20" s="1"/>
  <c r="W47" i="20"/>
  <c r="Z34" i="20"/>
  <c r="AB29" i="20"/>
  <c r="AA34" i="20"/>
  <c r="N47" i="20"/>
  <c r="N79" i="20" s="1"/>
  <c r="AA29" i="20"/>
  <c r="F39" i="34"/>
  <c r="G81" i="20"/>
  <c r="G83" i="20" s="1"/>
  <c r="AH55" i="20"/>
  <c r="AI55" i="20" s="1"/>
  <c r="AJ55" i="20" s="1"/>
  <c r="AK55" i="20" s="1"/>
  <c r="AL55" i="20" s="1"/>
  <c r="AM55" i="20" s="1"/>
  <c r="AN55" i="20" s="1"/>
  <c r="AO55" i="20" s="1"/>
  <c r="AP55" i="20" s="1"/>
  <c r="R93" i="27"/>
  <c r="R72" i="27"/>
  <c r="Q93" i="27"/>
  <c r="Q72" i="27"/>
  <c r="F53" i="47"/>
  <c r="C44" i="47"/>
  <c r="L111" i="27"/>
  <c r="M111" i="27" s="1"/>
  <c r="N111" i="27" s="1"/>
  <c r="O111" i="27" s="1"/>
  <c r="P111" i="27" s="1"/>
  <c r="L110" i="27"/>
  <c r="M110" i="27" s="1"/>
  <c r="N110" i="27" s="1"/>
  <c r="O110" i="27" s="1"/>
  <c r="P110" i="27" s="1"/>
  <c r="L109" i="27"/>
  <c r="M109" i="27" s="1"/>
  <c r="N109" i="27" s="1"/>
  <c r="O109" i="27" s="1"/>
  <c r="P109" i="27" s="1"/>
  <c r="L108" i="27"/>
  <c r="M108" i="27" s="1"/>
  <c r="N108" i="27" s="1"/>
  <c r="O108" i="27" s="1"/>
  <c r="P108" i="27" s="1"/>
  <c r="L107" i="27"/>
  <c r="M107" i="27" s="1"/>
  <c r="N107" i="27" s="1"/>
  <c r="O107" i="27" s="1"/>
  <c r="P107" i="27" s="1"/>
  <c r="D44" i="47" l="1"/>
  <c r="I96" i="47" s="1"/>
  <c r="K95" i="47"/>
  <c r="AC47" i="20"/>
  <c r="J47" i="43"/>
  <c r="AD47" i="20"/>
  <c r="BN44" i="43"/>
  <c r="O79" i="20"/>
  <c r="O81" i="20" s="1"/>
  <c r="O83" i="20" s="1"/>
  <c r="BK44" i="43"/>
  <c r="AR30" i="43"/>
  <c r="AV30" i="43"/>
  <c r="AN30" i="43"/>
  <c r="AQ30" i="43"/>
  <c r="AO30" i="43"/>
  <c r="AS30" i="43"/>
  <c r="AW30" i="43"/>
  <c r="AU30" i="43"/>
  <c r="AP30" i="43"/>
  <c r="AT30" i="43"/>
  <c r="AX30" i="43"/>
  <c r="AY30" i="43"/>
  <c r="AO31" i="43"/>
  <c r="AS31" i="43"/>
  <c r="AW31" i="43"/>
  <c r="AR31" i="43"/>
  <c r="AP31" i="43"/>
  <c r="AT31" i="43"/>
  <c r="AX31" i="43"/>
  <c r="AV31" i="43"/>
  <c r="AQ31" i="43"/>
  <c r="AU31" i="43"/>
  <c r="AY31" i="43"/>
  <c r="AN31" i="43"/>
  <c r="D79" i="47"/>
  <c r="E62" i="47"/>
  <c r="C63" i="47" s="1"/>
  <c r="D63" i="47" s="1"/>
  <c r="Z47" i="20"/>
  <c r="N81" i="20"/>
  <c r="BM47" i="43" s="1"/>
  <c r="BM44" i="43"/>
  <c r="M81" i="20"/>
  <c r="BL44" i="43"/>
  <c r="Q107" i="27"/>
  <c r="L30" i="19"/>
  <c r="Q110" i="27"/>
  <c r="L33" i="19"/>
  <c r="AA47" i="20"/>
  <c r="Q109" i="27"/>
  <c r="L32" i="19"/>
  <c r="Q111" i="27"/>
  <c r="L34" i="19"/>
  <c r="Q108" i="27"/>
  <c r="L31" i="19"/>
  <c r="K39" i="26"/>
  <c r="L39" i="26"/>
  <c r="J39" i="26"/>
  <c r="D17" i="11"/>
  <c r="D16" i="11"/>
  <c r="D15" i="11"/>
  <c r="D14" i="11"/>
  <c r="M46" i="19"/>
  <c r="N46" i="19" s="1"/>
  <c r="O46" i="19" s="1"/>
  <c r="P46" i="19" s="1"/>
  <c r="I45" i="19"/>
  <c r="J45" i="19" s="1"/>
  <c r="K45" i="19" s="1"/>
  <c r="L45" i="19" s="1"/>
  <c r="M45" i="19" s="1"/>
  <c r="N45" i="19" s="1"/>
  <c r="O45" i="19" s="1"/>
  <c r="P45" i="19" s="1"/>
  <c r="I44" i="19"/>
  <c r="J44" i="19" s="1"/>
  <c r="K44" i="19" s="1"/>
  <c r="L44" i="19" s="1"/>
  <c r="M44" i="19" s="1"/>
  <c r="N44" i="19" s="1"/>
  <c r="O44" i="19" s="1"/>
  <c r="P44" i="19" s="1"/>
  <c r="I40" i="19"/>
  <c r="J42" i="19"/>
  <c r="K42" i="19" s="1"/>
  <c r="L42" i="19" s="1"/>
  <c r="M42" i="19" s="1"/>
  <c r="N42" i="19" s="1"/>
  <c r="O42" i="19" s="1"/>
  <c r="P42" i="19" s="1"/>
  <c r="I41" i="19"/>
  <c r="J41" i="19" s="1"/>
  <c r="K41" i="19" s="1"/>
  <c r="J40" i="19" l="1"/>
  <c r="I48" i="19"/>
  <c r="D13" i="11"/>
  <c r="L41" i="19"/>
  <c r="K43" i="19"/>
  <c r="C17" i="43"/>
  <c r="BA31" i="43"/>
  <c r="BE31" i="43"/>
  <c r="BI31" i="43"/>
  <c r="BD31" i="43"/>
  <c r="BB31" i="43"/>
  <c r="BF31" i="43"/>
  <c r="BJ31" i="43"/>
  <c r="BH31" i="43"/>
  <c r="BC31" i="43"/>
  <c r="BG31" i="43"/>
  <c r="BK31" i="43"/>
  <c r="AZ31" i="43"/>
  <c r="C16" i="43"/>
  <c r="BD30" i="43"/>
  <c r="BH30" i="43"/>
  <c r="AZ30" i="43"/>
  <c r="BG30" i="43"/>
  <c r="BA30" i="43"/>
  <c r="BE30" i="43"/>
  <c r="BI30" i="43"/>
  <c r="BC30" i="43"/>
  <c r="BB30" i="43"/>
  <c r="BF30" i="43"/>
  <c r="BJ30" i="43"/>
  <c r="BK30" i="43"/>
  <c r="E63" i="47"/>
  <c r="C64" i="47" s="1"/>
  <c r="D64" i="47" s="1"/>
  <c r="E79" i="47"/>
  <c r="C80" i="47" s="1"/>
  <c r="BN47" i="43"/>
  <c r="M83" i="20"/>
  <c r="BL47" i="43"/>
  <c r="N83" i="20"/>
  <c r="R110" i="27"/>
  <c r="M33" i="19"/>
  <c r="R111" i="27"/>
  <c r="M34" i="19"/>
  <c r="R108" i="27"/>
  <c r="M31" i="19"/>
  <c r="R109" i="27"/>
  <c r="M32" i="19"/>
  <c r="L35" i="19"/>
  <c r="L36" i="19" s="1"/>
  <c r="R107" i="27"/>
  <c r="M30" i="19"/>
  <c r="E44" i="47"/>
  <c r="N32" i="19" l="1"/>
  <c r="S109" i="27"/>
  <c r="N30" i="19"/>
  <c r="N35" i="19" s="1"/>
  <c r="N36" i="19" s="1"/>
  <c r="M32" i="11" s="1"/>
  <c r="S107" i="27"/>
  <c r="N34" i="19"/>
  <c r="S111" i="27"/>
  <c r="N31" i="19"/>
  <c r="S108" i="27"/>
  <c r="N33" i="19"/>
  <c r="S110" i="27"/>
  <c r="M41" i="19"/>
  <c r="L43" i="19"/>
  <c r="K40" i="19"/>
  <c r="J48" i="19"/>
  <c r="BL31" i="43"/>
  <c r="BL30" i="43"/>
  <c r="D80" i="47"/>
  <c r="E80" i="47" s="1"/>
  <c r="E64" i="47"/>
  <c r="C65" i="47" s="1"/>
  <c r="D65" i="47" s="1"/>
  <c r="M35" i="19"/>
  <c r="M36" i="19" s="1"/>
  <c r="L32" i="11" s="1"/>
  <c r="K32" i="11"/>
  <c r="K16" i="11"/>
  <c r="BL17" i="43" s="1"/>
  <c r="C45" i="47"/>
  <c r="D45" i="47" s="1"/>
  <c r="I17" i="11"/>
  <c r="H17" i="11"/>
  <c r="G17" i="11"/>
  <c r="F17" i="11"/>
  <c r="C46" i="19"/>
  <c r="C45" i="19"/>
  <c r="C44" i="19"/>
  <c r="K25" i="19"/>
  <c r="J25" i="19"/>
  <c r="I25" i="19"/>
  <c r="H25" i="19"/>
  <c r="G25" i="19"/>
  <c r="K24" i="19"/>
  <c r="J24" i="19"/>
  <c r="I24" i="19"/>
  <c r="H24" i="19"/>
  <c r="G24" i="19"/>
  <c r="K23" i="19"/>
  <c r="J23" i="19"/>
  <c r="I23" i="19"/>
  <c r="H23" i="19"/>
  <c r="G23" i="19"/>
  <c r="C25" i="19"/>
  <c r="C24" i="19"/>
  <c r="C23" i="19"/>
  <c r="L105" i="27"/>
  <c r="M105" i="27" s="1"/>
  <c r="N105" i="27" s="1"/>
  <c r="O105" i="27" s="1"/>
  <c r="P105" i="27" s="1"/>
  <c r="Q105" i="27" s="1"/>
  <c r="R105" i="27" s="1"/>
  <c r="S105" i="27" s="1"/>
  <c r="T105" i="27" s="1"/>
  <c r="L104" i="27"/>
  <c r="M104" i="27" s="1"/>
  <c r="N104" i="27" s="1"/>
  <c r="O104" i="27" s="1"/>
  <c r="P104" i="27" s="1"/>
  <c r="Q104" i="27" s="1"/>
  <c r="R104" i="27" s="1"/>
  <c r="S104" i="27" s="1"/>
  <c r="T104" i="27" s="1"/>
  <c r="C21" i="19"/>
  <c r="C11" i="19"/>
  <c r="C34" i="19"/>
  <c r="C33" i="19"/>
  <c r="C32" i="19"/>
  <c r="C31" i="19"/>
  <c r="C30" i="19"/>
  <c r="O85" i="27"/>
  <c r="O89" i="27" s="1"/>
  <c r="O84" i="27"/>
  <c r="O83" i="27"/>
  <c r="O82" i="27"/>
  <c r="O81" i="27"/>
  <c r="O88" i="27" s="1"/>
  <c r="N85" i="27"/>
  <c r="N89" i="27" s="1"/>
  <c r="N84" i="27"/>
  <c r="N83" i="27"/>
  <c r="N82" i="27"/>
  <c r="N81" i="27"/>
  <c r="M85" i="27"/>
  <c r="M89" i="27" s="1"/>
  <c r="M84" i="27"/>
  <c r="M83" i="27"/>
  <c r="M82" i="27"/>
  <c r="M81" i="27"/>
  <c r="L85" i="27"/>
  <c r="L89" i="27" s="1"/>
  <c r="L84" i="27"/>
  <c r="H33" i="19" s="1"/>
  <c r="L83" i="27"/>
  <c r="H32" i="19" s="1"/>
  <c r="L82" i="27"/>
  <c r="H31" i="19" s="1"/>
  <c r="L81" i="27"/>
  <c r="K85" i="27"/>
  <c r="K89" i="27" s="1"/>
  <c r="K81" i="27"/>
  <c r="G30" i="19" s="1"/>
  <c r="K84" i="27"/>
  <c r="G33" i="19" s="1"/>
  <c r="K83" i="27"/>
  <c r="G32" i="19" s="1"/>
  <c r="K82" i="27"/>
  <c r="G31" i="19" s="1"/>
  <c r="I58" i="27"/>
  <c r="I57" i="27"/>
  <c r="I70" i="27" s="1"/>
  <c r="I56" i="27"/>
  <c r="O55" i="27"/>
  <c r="N55" i="27"/>
  <c r="N58" i="27" s="1"/>
  <c r="M55" i="27"/>
  <c r="L55" i="27"/>
  <c r="L56" i="27" s="1"/>
  <c r="K55" i="27"/>
  <c r="T107" i="27" l="1"/>
  <c r="P30" i="19" s="1"/>
  <c r="O30" i="19"/>
  <c r="T110" i="27"/>
  <c r="P33" i="19" s="1"/>
  <c r="O33" i="19"/>
  <c r="T111" i="27"/>
  <c r="P34" i="19" s="1"/>
  <c r="O34" i="19"/>
  <c r="T109" i="27"/>
  <c r="P32" i="19" s="1"/>
  <c r="O32" i="19"/>
  <c r="T108" i="27"/>
  <c r="P31" i="19" s="1"/>
  <c r="O31" i="19"/>
  <c r="N41" i="19"/>
  <c r="M43" i="19"/>
  <c r="L40" i="19"/>
  <c r="K48" i="19"/>
  <c r="J17" i="11" s="1"/>
  <c r="L16" i="11"/>
  <c r="BM17" i="43" s="1"/>
  <c r="BM30" i="43"/>
  <c r="Q27" i="11"/>
  <c r="BM31" i="43"/>
  <c r="T18" i="43"/>
  <c r="X18" i="43"/>
  <c r="V18" i="43"/>
  <c r="S18" i="43"/>
  <c r="Q18" i="43"/>
  <c r="U18" i="43"/>
  <c r="Y18" i="43"/>
  <c r="P18" i="43"/>
  <c r="R18" i="43"/>
  <c r="Z18" i="43"/>
  <c r="AA18" i="43"/>
  <c r="W18" i="43"/>
  <c r="AD18" i="43"/>
  <c r="AH18" i="43"/>
  <c r="AL18" i="43"/>
  <c r="AE18" i="43"/>
  <c r="AI18" i="43"/>
  <c r="AM18" i="43"/>
  <c r="AB18" i="43"/>
  <c r="AF18" i="43"/>
  <c r="AJ18" i="43"/>
  <c r="AC18" i="43"/>
  <c r="AG18" i="43"/>
  <c r="AK18" i="43"/>
  <c r="AP18" i="43"/>
  <c r="AT18" i="43"/>
  <c r="AX18" i="43"/>
  <c r="AQ18" i="43"/>
  <c r="AU18" i="43"/>
  <c r="AY18" i="43"/>
  <c r="AN18" i="43"/>
  <c r="AR18" i="43"/>
  <c r="AV18" i="43"/>
  <c r="AO18" i="43"/>
  <c r="AS18" i="43"/>
  <c r="AW18" i="43"/>
  <c r="AZ18" i="43"/>
  <c r="BE18" i="43"/>
  <c r="BJ18" i="43"/>
  <c r="E65" i="47"/>
  <c r="C66" i="47" s="1"/>
  <c r="D66" i="47" s="1"/>
  <c r="K30" i="11"/>
  <c r="BL36" i="43"/>
  <c r="L30" i="11"/>
  <c r="BM36" i="43"/>
  <c r="M16" i="11"/>
  <c r="BN17" i="43" s="1"/>
  <c r="M30" i="11"/>
  <c r="BN36" i="43"/>
  <c r="N88" i="27"/>
  <c r="L88" i="27"/>
  <c r="H34" i="19"/>
  <c r="K30" i="19"/>
  <c r="I26" i="19"/>
  <c r="I27" i="19" s="1"/>
  <c r="H15" i="11" s="1"/>
  <c r="J26" i="19"/>
  <c r="J27" i="19" s="1"/>
  <c r="I15" i="11" s="1"/>
  <c r="H26" i="19"/>
  <c r="H27" i="19" s="1"/>
  <c r="G15" i="11" s="1"/>
  <c r="G26" i="19"/>
  <c r="G27" i="19" s="1"/>
  <c r="F15" i="11" s="1"/>
  <c r="K26" i="19"/>
  <c r="K27" i="19" s="1"/>
  <c r="J15" i="11" s="1"/>
  <c r="M88" i="27"/>
  <c r="G34" i="19"/>
  <c r="G35" i="19" s="1"/>
  <c r="G36" i="19" s="1"/>
  <c r="F32" i="11" s="1"/>
  <c r="H30" i="19"/>
  <c r="J30" i="19"/>
  <c r="I30" i="19"/>
  <c r="K87" i="27"/>
  <c r="L87" i="27"/>
  <c r="N87" i="27"/>
  <c r="O87" i="27"/>
  <c r="I68" i="27"/>
  <c r="M87" i="27"/>
  <c r="K88" i="27"/>
  <c r="I69" i="27"/>
  <c r="L57" i="27"/>
  <c r="L58" i="27"/>
  <c r="N57" i="27"/>
  <c r="M56" i="27"/>
  <c r="O57" i="27"/>
  <c r="M58" i="27"/>
  <c r="N56" i="27"/>
  <c r="O56" i="27"/>
  <c r="M57" i="27"/>
  <c r="O58" i="27"/>
  <c r="Q15" i="11" l="1"/>
  <c r="BA18" i="43"/>
  <c r="BK18" i="43"/>
  <c r="BB18" i="43"/>
  <c r="BH18" i="43"/>
  <c r="BG18" i="43"/>
  <c r="P35" i="19"/>
  <c r="P36" i="19" s="1"/>
  <c r="BF18" i="43"/>
  <c r="L48" i="19"/>
  <c r="K17" i="11" s="1"/>
  <c r="BL18" i="43" s="1"/>
  <c r="M40" i="19"/>
  <c r="O35" i="19"/>
  <c r="O36" i="19" s="1"/>
  <c r="BI18" i="43"/>
  <c r="BD18" i="43"/>
  <c r="BC18" i="43"/>
  <c r="O41" i="19"/>
  <c r="N43" i="19"/>
  <c r="BN30" i="43"/>
  <c r="Q26" i="11"/>
  <c r="O36" i="43"/>
  <c r="E36" i="43"/>
  <c r="I36" i="43"/>
  <c r="M36" i="43"/>
  <c r="N36" i="43"/>
  <c r="F36" i="43"/>
  <c r="J36" i="43"/>
  <c r="D36" i="43"/>
  <c r="L36" i="43"/>
  <c r="G36" i="43"/>
  <c r="K36" i="43"/>
  <c r="H36" i="43"/>
  <c r="E16" i="43"/>
  <c r="I16" i="43"/>
  <c r="M16" i="43"/>
  <c r="G16" i="43"/>
  <c r="O16" i="43"/>
  <c r="F16" i="43"/>
  <c r="J16" i="43"/>
  <c r="N16" i="43"/>
  <c r="K16" i="43"/>
  <c r="L16" i="43"/>
  <c r="D16" i="43"/>
  <c r="H16" i="43"/>
  <c r="BN31" i="43"/>
  <c r="C81" i="47"/>
  <c r="BD16" i="43"/>
  <c r="BH16" i="43"/>
  <c r="BA16" i="43"/>
  <c r="BE16" i="43"/>
  <c r="BI16" i="43"/>
  <c r="AZ16" i="43"/>
  <c r="BB16" i="43"/>
  <c r="BF16" i="43"/>
  <c r="BJ16" i="43"/>
  <c r="BC16" i="43"/>
  <c r="BG16" i="43"/>
  <c r="BK16" i="43"/>
  <c r="AO16" i="43"/>
  <c r="AS16" i="43"/>
  <c r="AW16" i="43"/>
  <c r="AN16" i="43"/>
  <c r="AP16" i="43"/>
  <c r="AX16" i="43"/>
  <c r="AQ16" i="43"/>
  <c r="AU16" i="43"/>
  <c r="AY16" i="43"/>
  <c r="AR16" i="43"/>
  <c r="AV16" i="43"/>
  <c r="AT16" i="43"/>
  <c r="AE16" i="43"/>
  <c r="AI16" i="43"/>
  <c r="AM16" i="43"/>
  <c r="AG16" i="43"/>
  <c r="AB16" i="43"/>
  <c r="AL16" i="43"/>
  <c r="AF16" i="43"/>
  <c r="AJ16" i="43"/>
  <c r="AC16" i="43"/>
  <c r="AK16" i="43"/>
  <c r="AH16" i="43"/>
  <c r="AD16" i="43"/>
  <c r="S16" i="43"/>
  <c r="W16" i="43"/>
  <c r="Q16" i="43"/>
  <c r="Y16" i="43"/>
  <c r="Z16" i="43"/>
  <c r="T16" i="43"/>
  <c r="X16" i="43"/>
  <c r="P16" i="43"/>
  <c r="AA16" i="43"/>
  <c r="U16" i="43"/>
  <c r="R16" i="43"/>
  <c r="V16" i="43"/>
  <c r="H35" i="19"/>
  <c r="H36" i="19" s="1"/>
  <c r="G32" i="11" s="1"/>
  <c r="F16" i="11"/>
  <c r="E45" i="47"/>
  <c r="I33" i="19"/>
  <c r="I31" i="19"/>
  <c r="I32" i="19"/>
  <c r="I34" i="19"/>
  <c r="M48" i="19" l="1"/>
  <c r="L17" i="11" s="1"/>
  <c r="BM18" i="43" s="1"/>
  <c r="N40" i="19"/>
  <c r="O43" i="19"/>
  <c r="P41" i="19"/>
  <c r="P43" i="19" s="1"/>
  <c r="N16" i="11"/>
  <c r="N32" i="11"/>
  <c r="N30" i="11" s="1"/>
  <c r="O32" i="11"/>
  <c r="O30" i="11" s="1"/>
  <c r="O16" i="11"/>
  <c r="F17" i="43"/>
  <c r="J17" i="43"/>
  <c r="N17" i="43"/>
  <c r="D17" i="43"/>
  <c r="E17" i="43"/>
  <c r="M17" i="43"/>
  <c r="G17" i="43"/>
  <c r="K17" i="43"/>
  <c r="O17" i="43"/>
  <c r="L17" i="43"/>
  <c r="H17" i="43"/>
  <c r="I17" i="43"/>
  <c r="D81" i="47"/>
  <c r="G30" i="11"/>
  <c r="S36" i="43"/>
  <c r="W36" i="43"/>
  <c r="AA36" i="43"/>
  <c r="R36" i="43"/>
  <c r="T36" i="43"/>
  <c r="X36" i="43"/>
  <c r="P36" i="43"/>
  <c r="V36" i="43"/>
  <c r="Z36" i="43"/>
  <c r="Q36" i="43"/>
  <c r="U36" i="43"/>
  <c r="Y36" i="43"/>
  <c r="G16" i="11"/>
  <c r="C46" i="47"/>
  <c r="D46" i="47" s="1"/>
  <c r="I35" i="19"/>
  <c r="I36" i="19" s="1"/>
  <c r="H32" i="11" s="1"/>
  <c r="K31" i="19"/>
  <c r="J31" i="19"/>
  <c r="K34" i="19"/>
  <c r="J34" i="19"/>
  <c r="K32" i="19"/>
  <c r="J32" i="19"/>
  <c r="K33" i="19"/>
  <c r="J33" i="19"/>
  <c r="O40" i="19" l="1"/>
  <c r="N48" i="19"/>
  <c r="M17" i="11" s="1"/>
  <c r="BN18" i="43" s="1"/>
  <c r="K97" i="47"/>
  <c r="E81" i="47"/>
  <c r="I65" i="47"/>
  <c r="AC36" i="43"/>
  <c r="AG36" i="43"/>
  <c r="AK36" i="43"/>
  <c r="AE36" i="43"/>
  <c r="AI36" i="43"/>
  <c r="AM36" i="43"/>
  <c r="AF36" i="43"/>
  <c r="AJ36" i="43"/>
  <c r="AD36" i="43"/>
  <c r="AH36" i="43"/>
  <c r="AL36" i="43"/>
  <c r="AB36" i="43"/>
  <c r="Q17" i="43"/>
  <c r="U17" i="43"/>
  <c r="Y17" i="43"/>
  <c r="P17" i="43"/>
  <c r="AA17" i="43"/>
  <c r="R17" i="43"/>
  <c r="V17" i="43"/>
  <c r="Z17" i="43"/>
  <c r="S17" i="43"/>
  <c r="W17" i="43"/>
  <c r="T17" i="43"/>
  <c r="X17" i="43"/>
  <c r="H16" i="11"/>
  <c r="J35" i="19"/>
  <c r="J36" i="19" s="1"/>
  <c r="I32" i="11" s="1"/>
  <c r="K35" i="19"/>
  <c r="K36" i="19" s="1"/>
  <c r="J32" i="11" s="1"/>
  <c r="Q32" i="11" s="1"/>
  <c r="O48" i="19" l="1"/>
  <c r="N17" i="11" s="1"/>
  <c r="P40" i="19"/>
  <c r="P48" i="19" s="1"/>
  <c r="O17" i="11" s="1"/>
  <c r="Q17" i="11" s="1"/>
  <c r="C82" i="47"/>
  <c r="AP36" i="43"/>
  <c r="AT36" i="43"/>
  <c r="AX36" i="43"/>
  <c r="AQ36" i="43"/>
  <c r="AU36" i="43"/>
  <c r="AY36" i="43"/>
  <c r="AR36" i="43"/>
  <c r="AV36" i="43"/>
  <c r="AN36" i="43"/>
  <c r="AO36" i="43"/>
  <c r="AS36" i="43"/>
  <c r="AW36" i="43"/>
  <c r="BA36" i="43"/>
  <c r="BE36" i="43"/>
  <c r="BI36" i="43"/>
  <c r="BB36" i="43"/>
  <c r="BF36" i="43"/>
  <c r="BJ36" i="43"/>
  <c r="BC36" i="43"/>
  <c r="BG36" i="43"/>
  <c r="BK36" i="43"/>
  <c r="BD36" i="43"/>
  <c r="BH36" i="43"/>
  <c r="AZ36" i="43"/>
  <c r="AC17" i="43"/>
  <c r="AG17" i="43"/>
  <c r="AK17" i="43"/>
  <c r="AD17" i="43"/>
  <c r="AH17" i="43"/>
  <c r="AL17" i="43"/>
  <c r="AB17" i="43"/>
  <c r="AE17" i="43"/>
  <c r="AI17" i="43"/>
  <c r="AM17" i="43"/>
  <c r="AF17" i="43"/>
  <c r="AJ17" i="43"/>
  <c r="I16" i="11"/>
  <c r="J16" i="11"/>
  <c r="Q16" i="11" s="1"/>
  <c r="E46" i="47"/>
  <c r="I47" i="27"/>
  <c r="I50" i="27" s="1"/>
  <c r="D82" i="47" l="1"/>
  <c r="AO17" i="43"/>
  <c r="AS17" i="43"/>
  <c r="AW17" i="43"/>
  <c r="AP17" i="43"/>
  <c r="AT17" i="43"/>
  <c r="AX17" i="43"/>
  <c r="AN17" i="43"/>
  <c r="AQ17" i="43"/>
  <c r="AU17" i="43"/>
  <c r="AY17" i="43"/>
  <c r="AR17" i="43"/>
  <c r="AV17" i="43"/>
  <c r="BA17" i="43"/>
  <c r="BE17" i="43"/>
  <c r="BI17" i="43"/>
  <c r="BB17" i="43"/>
  <c r="BF17" i="43"/>
  <c r="BJ17" i="43"/>
  <c r="BC17" i="43"/>
  <c r="BG17" i="43"/>
  <c r="BK17" i="43"/>
  <c r="AZ17" i="43"/>
  <c r="BD17" i="43"/>
  <c r="BH17" i="43"/>
  <c r="C47" i="47"/>
  <c r="D47" i="47" s="1"/>
  <c r="I99" i="47" s="1"/>
  <c r="I48" i="27"/>
  <c r="I49" i="27"/>
  <c r="E82" i="47" l="1"/>
  <c r="E47" i="47"/>
  <c r="C48" i="47" s="1"/>
  <c r="D48" i="47" s="1"/>
  <c r="I72" i="27"/>
  <c r="C83" i="47" l="1"/>
  <c r="E48" i="47"/>
  <c r="L91" i="27"/>
  <c r="O91" i="27"/>
  <c r="N91" i="27"/>
  <c r="M91" i="27"/>
  <c r="K91" i="27"/>
  <c r="C49" i="47" l="1"/>
  <c r="D83" i="47"/>
  <c r="I100" i="47" s="1"/>
  <c r="W84" i="27"/>
  <c r="W82" i="27"/>
  <c r="W88" i="27"/>
  <c r="W89" i="27"/>
  <c r="W85" i="27"/>
  <c r="W83" i="27"/>
  <c r="W81" i="27"/>
  <c r="W87" i="27"/>
  <c r="V81" i="27"/>
  <c r="V85" i="27"/>
  <c r="V87" i="27"/>
  <c r="V83" i="27"/>
  <c r="V89" i="27"/>
  <c r="V84" i="27"/>
  <c r="V82" i="27"/>
  <c r="V88" i="27"/>
  <c r="D49" i="47" l="1"/>
  <c r="E83" i="47"/>
  <c r="I11" i="27"/>
  <c r="D12" i="11" s="1"/>
  <c r="G12" i="11"/>
  <c r="E49" i="47" l="1"/>
  <c r="C84" i="47"/>
  <c r="K100" i="47" s="1"/>
  <c r="K39" i="27"/>
  <c r="O47" i="27"/>
  <c r="N47" i="27"/>
  <c r="M47" i="27"/>
  <c r="L47" i="27"/>
  <c r="K47" i="27"/>
  <c r="K48" i="27" s="1"/>
  <c r="C50" i="47" l="1"/>
  <c r="D50" i="47" s="1"/>
  <c r="D84" i="47"/>
  <c r="I101" i="47" s="1"/>
  <c r="D53" i="47"/>
  <c r="I47" i="47" s="1"/>
  <c r="N49" i="27"/>
  <c r="N50" i="27"/>
  <c r="N48" i="27"/>
  <c r="K50" i="27"/>
  <c r="K49" i="27"/>
  <c r="O50" i="27"/>
  <c r="O48" i="27"/>
  <c r="O49" i="27"/>
  <c r="K40" i="27"/>
  <c r="K41" i="27"/>
  <c r="K42" i="27"/>
  <c r="L50" i="27"/>
  <c r="L48" i="27"/>
  <c r="L49" i="27"/>
  <c r="M49" i="27"/>
  <c r="M50" i="27"/>
  <c r="M48" i="27"/>
  <c r="G37" i="34"/>
  <c r="H37" i="34" s="1"/>
  <c r="I37" i="34" s="1"/>
  <c r="J37" i="34" s="1"/>
  <c r="K37" i="34" s="1"/>
  <c r="L37" i="34" s="1"/>
  <c r="M37" i="34" s="1"/>
  <c r="G23" i="34"/>
  <c r="G16" i="34"/>
  <c r="G15" i="34"/>
  <c r="H15" i="34" s="1"/>
  <c r="I15" i="34" s="1"/>
  <c r="J15" i="34" s="1"/>
  <c r="K15" i="34" s="1"/>
  <c r="L15" i="34" s="1"/>
  <c r="M15" i="34" s="1"/>
  <c r="G14" i="34"/>
  <c r="H14" i="34" s="1"/>
  <c r="I14" i="34" s="1"/>
  <c r="J14" i="34" s="1"/>
  <c r="K14" i="34" s="1"/>
  <c r="L14" i="34" s="1"/>
  <c r="M14" i="34" s="1"/>
  <c r="E50" i="47" l="1"/>
  <c r="E84" i="47"/>
  <c r="H23" i="34"/>
  <c r="I23" i="34" s="1"/>
  <c r="J23" i="34" s="1"/>
  <c r="K23" i="34" s="1"/>
  <c r="H16" i="34"/>
  <c r="C39" i="26"/>
  <c r="C17" i="26"/>
  <c r="D19" i="34"/>
  <c r="D30" i="34"/>
  <c r="D39" i="34" s="1"/>
  <c r="D39" i="11" s="1"/>
  <c r="E53" i="47" l="1"/>
  <c r="C85" i="47"/>
  <c r="D48" i="34"/>
  <c r="D37" i="11"/>
  <c r="K26" i="34"/>
  <c r="K38" i="11" s="1"/>
  <c r="L23" i="34"/>
  <c r="I16" i="34"/>
  <c r="J16" i="34" s="1"/>
  <c r="K16" i="34" s="1"/>
  <c r="L16" i="34" s="1"/>
  <c r="M16" i="34" s="1"/>
  <c r="C20" i="26"/>
  <c r="C41" i="26" s="1"/>
  <c r="D34" i="11" s="1"/>
  <c r="C38" i="43" s="1"/>
  <c r="C58" i="43" s="1"/>
  <c r="D36" i="11" l="1"/>
  <c r="C40" i="43" s="1"/>
  <c r="D85" i="47"/>
  <c r="I102" i="47" s="1"/>
  <c r="K101" i="47"/>
  <c r="L26" i="34"/>
  <c r="L38" i="11" s="1"/>
  <c r="M23" i="34"/>
  <c r="M26" i="34" s="1"/>
  <c r="M38" i="11" s="1"/>
  <c r="K19" i="34"/>
  <c r="I39" i="27"/>
  <c r="D43" i="11" l="1"/>
  <c r="E85" i="47"/>
  <c r="K37" i="11"/>
  <c r="M19" i="34"/>
  <c r="L19" i="34"/>
  <c r="I40" i="27"/>
  <c r="I42" i="27"/>
  <c r="I41" i="27"/>
  <c r="C86" i="47" l="1"/>
  <c r="L37" i="11"/>
  <c r="M37" i="11"/>
  <c r="E39" i="26"/>
  <c r="N17" i="27"/>
  <c r="K17" i="27"/>
  <c r="M12" i="27"/>
  <c r="O39" i="27"/>
  <c r="N39" i="27"/>
  <c r="M39" i="27"/>
  <c r="L39" i="27"/>
  <c r="C15" i="19"/>
  <c r="C42" i="19" s="1"/>
  <c r="C14" i="19"/>
  <c r="C41" i="19" s="1"/>
  <c r="C13" i="19"/>
  <c r="C40" i="19" s="1"/>
  <c r="K24" i="27"/>
  <c r="O24" i="27"/>
  <c r="N24" i="27"/>
  <c r="J15" i="19" s="1"/>
  <c r="M24" i="27"/>
  <c r="I15" i="19" s="1"/>
  <c r="L24" i="27"/>
  <c r="H15" i="19" s="1"/>
  <c r="O19" i="27"/>
  <c r="N19" i="27"/>
  <c r="J14" i="19" s="1"/>
  <c r="M19" i="27"/>
  <c r="I14" i="19" s="1"/>
  <c r="L19" i="27"/>
  <c r="H14" i="19" s="1"/>
  <c r="K19" i="27"/>
  <c r="O14" i="27"/>
  <c r="N14" i="27"/>
  <c r="M14" i="27"/>
  <c r="K14" i="27"/>
  <c r="L14" i="27"/>
  <c r="AA57" i="43"/>
  <c r="AB57" i="43" s="1"/>
  <c r="C30" i="45"/>
  <c r="W71" i="20"/>
  <c r="W73" i="20"/>
  <c r="W74" i="20"/>
  <c r="J66" i="20"/>
  <c r="J76" i="20"/>
  <c r="AB46" i="43" s="1"/>
  <c r="AF30" i="20"/>
  <c r="AF31" i="20"/>
  <c r="AF32" i="20"/>
  <c r="AF33" i="20"/>
  <c r="AF34" i="20"/>
  <c r="AF38" i="20"/>
  <c r="AG38" i="20" s="1"/>
  <c r="AG47" i="20" s="1"/>
  <c r="AF39" i="20"/>
  <c r="AF40" i="20"/>
  <c r="AF41" i="20"/>
  <c r="AG41" i="20" s="1"/>
  <c r="AF42" i="20"/>
  <c r="AF43" i="20"/>
  <c r="V71" i="20"/>
  <c r="V73" i="20"/>
  <c r="V74" i="20"/>
  <c r="V22" i="20"/>
  <c r="V23" i="20"/>
  <c r="V24" i="20"/>
  <c r="T79" i="20"/>
  <c r="AF79" i="20" s="1"/>
  <c r="T80" i="20"/>
  <c r="AF80" i="20" s="1"/>
  <c r="AG80" i="20" s="1"/>
  <c r="AH80" i="20" s="1"/>
  <c r="AI80" i="20" s="1"/>
  <c r="AJ80" i="20" s="1"/>
  <c r="AK80" i="20" s="1"/>
  <c r="AL80" i="20" s="1"/>
  <c r="AM80" i="20" s="1"/>
  <c r="AN80" i="20" s="1"/>
  <c r="AO80" i="20" s="1"/>
  <c r="AP80" i="20" s="1"/>
  <c r="U80" i="20"/>
  <c r="AF50" i="20"/>
  <c r="AF51" i="20"/>
  <c r="AF69" i="20"/>
  <c r="T71" i="20"/>
  <c r="T72" i="20"/>
  <c r="U72" i="20"/>
  <c r="T73" i="20"/>
  <c r="T74" i="20"/>
  <c r="AF17" i="20"/>
  <c r="AG17" i="20" s="1"/>
  <c r="AF18" i="20"/>
  <c r="AG18" i="20" s="1"/>
  <c r="AF19" i="20"/>
  <c r="T20" i="20"/>
  <c r="AF20" i="20" s="1"/>
  <c r="T21" i="20"/>
  <c r="AF21" i="20" s="1"/>
  <c r="T22" i="20"/>
  <c r="AF22" i="20" s="1"/>
  <c r="AG22" i="20" s="1"/>
  <c r="T23" i="20"/>
  <c r="AF23" i="20" s="1"/>
  <c r="T24" i="20"/>
  <c r="AF24" i="20" s="1"/>
  <c r="U22" i="20"/>
  <c r="U71" i="20"/>
  <c r="AF71" i="20"/>
  <c r="AF70" i="20"/>
  <c r="U73" i="20"/>
  <c r="X73" i="20"/>
  <c r="U74" i="20"/>
  <c r="U79" i="20"/>
  <c r="U21" i="20"/>
  <c r="AF25" i="20"/>
  <c r="X71" i="20"/>
  <c r="X74" i="20"/>
  <c r="AY45" i="43"/>
  <c r="AN46" i="43"/>
  <c r="L66" i="20"/>
  <c r="L76" i="20"/>
  <c r="AZ46" i="43" s="1"/>
  <c r="I18" i="47"/>
  <c r="I29" i="47"/>
  <c r="F27" i="47" s="1"/>
  <c r="C27" i="47"/>
  <c r="E17" i="26"/>
  <c r="F40" i="11"/>
  <c r="I11" i="26"/>
  <c r="I22" i="26" s="1"/>
  <c r="H11" i="26"/>
  <c r="H22" i="26" s="1"/>
  <c r="G11" i="26"/>
  <c r="G22" i="26" s="1"/>
  <c r="F11" i="26"/>
  <c r="F22" i="26" s="1"/>
  <c r="E11" i="26"/>
  <c r="E22" i="26" s="1"/>
  <c r="F26" i="34"/>
  <c r="F38" i="11" s="1"/>
  <c r="F39" i="11"/>
  <c r="G42" i="34"/>
  <c r="G40" i="11" s="1"/>
  <c r="J10" i="34"/>
  <c r="I10" i="34"/>
  <c r="H10" i="34"/>
  <c r="G10" i="34"/>
  <c r="F10" i="34"/>
  <c r="D10" i="34"/>
  <c r="C11" i="26"/>
  <c r="C22" i="26" s="1"/>
  <c r="V13" i="20"/>
  <c r="AH13" i="20" s="1"/>
  <c r="U13" i="20"/>
  <c r="AG13" i="20" s="1"/>
  <c r="T13" i="20"/>
  <c r="AF13" i="20" s="1"/>
  <c r="E11" i="19"/>
  <c r="E21" i="19" s="1"/>
  <c r="K11" i="19"/>
  <c r="K21" i="19" s="1"/>
  <c r="J11" i="19"/>
  <c r="J21" i="19" s="1"/>
  <c r="I11" i="19"/>
  <c r="I21" i="19" s="1"/>
  <c r="H11" i="19"/>
  <c r="H21" i="19" s="1"/>
  <c r="G11" i="19"/>
  <c r="G21" i="19" s="1"/>
  <c r="J11" i="11"/>
  <c r="I11" i="11"/>
  <c r="H11" i="11"/>
  <c r="G11" i="11"/>
  <c r="F11" i="11"/>
  <c r="D11" i="11"/>
  <c r="B36" i="43"/>
  <c r="B35" i="43"/>
  <c r="B47" i="43"/>
  <c r="B46" i="43"/>
  <c r="B45" i="43"/>
  <c r="B44" i="43"/>
  <c r="B43" i="43"/>
  <c r="H6" i="36"/>
  <c r="H11" i="36" s="1"/>
  <c r="H17" i="36" s="1"/>
  <c r="H7" i="36"/>
  <c r="H8" i="36"/>
  <c r="H9" i="36"/>
  <c r="H10" i="36"/>
  <c r="H13" i="36"/>
  <c r="C11" i="36"/>
  <c r="C17" i="36" s="1"/>
  <c r="C21" i="36"/>
  <c r="C31" i="36" s="1"/>
  <c r="D11" i="36"/>
  <c r="D17" i="36" s="1"/>
  <c r="E11" i="36"/>
  <c r="E17" i="36" s="1"/>
  <c r="F11" i="36"/>
  <c r="F20" i="36" s="1"/>
  <c r="G11" i="36"/>
  <c r="G20" i="36" s="1"/>
  <c r="G21" i="36"/>
  <c r="D20" i="36"/>
  <c r="D26" i="36" s="1"/>
  <c r="D28" i="36" s="1"/>
  <c r="D21" i="36"/>
  <c r="F21" i="36"/>
  <c r="F31" i="36" s="1"/>
  <c r="F34" i="36" s="1"/>
  <c r="D31" i="36"/>
  <c r="D34" i="36" s="1"/>
  <c r="E21" i="36"/>
  <c r="E31" i="36"/>
  <c r="E34" i="36"/>
  <c r="H27" i="36"/>
  <c r="G31" i="36"/>
  <c r="G34" i="36"/>
  <c r="I8" i="2"/>
  <c r="N8" i="2"/>
  <c r="N9" i="2"/>
  <c r="N13" i="2"/>
  <c r="O8" i="2"/>
  <c r="O9" i="2"/>
  <c r="O13" i="2"/>
  <c r="P8" i="2"/>
  <c r="P13" i="2" s="1"/>
  <c r="Q8" i="2"/>
  <c r="I9" i="2"/>
  <c r="P9" i="2"/>
  <c r="Q9" i="2"/>
  <c r="Q13" i="2" s="1"/>
  <c r="D13" i="2"/>
  <c r="E13" i="2"/>
  <c r="F13" i="2"/>
  <c r="G13" i="2"/>
  <c r="H13" i="2"/>
  <c r="E20" i="36"/>
  <c r="E26" i="36" s="1"/>
  <c r="F17" i="36"/>
  <c r="I13" i="2"/>
  <c r="C20" i="36"/>
  <c r="C26" i="36"/>
  <c r="C28" i="36" s="1"/>
  <c r="D23" i="36" l="1"/>
  <c r="T76" i="20"/>
  <c r="V76" i="20"/>
  <c r="M11" i="27"/>
  <c r="H12" i="11" s="1"/>
  <c r="G17" i="36"/>
  <c r="C23" i="36"/>
  <c r="AG23" i="20"/>
  <c r="AH23" i="20" s="1"/>
  <c r="AI23" i="20" s="1"/>
  <c r="AJ23" i="20" s="1"/>
  <c r="AK23" i="20" s="1"/>
  <c r="AL23" i="20" s="1"/>
  <c r="AM23" i="20" s="1"/>
  <c r="AN23" i="20" s="1"/>
  <c r="AO23" i="20" s="1"/>
  <c r="AP23" i="20" s="1"/>
  <c r="V26" i="20"/>
  <c r="AY44" i="43"/>
  <c r="AN44" i="43"/>
  <c r="K79" i="20"/>
  <c r="L79" i="20"/>
  <c r="AM45" i="43"/>
  <c r="J79" i="20"/>
  <c r="K102" i="47"/>
  <c r="D86" i="47"/>
  <c r="D27" i="47"/>
  <c r="AG25" i="20"/>
  <c r="AH25" i="20" s="1"/>
  <c r="AI25" i="20" s="1"/>
  <c r="AJ25" i="20" s="1"/>
  <c r="AK25" i="20" s="1"/>
  <c r="AG24" i="20"/>
  <c r="AH24" i="20" s="1"/>
  <c r="AI24" i="20" s="1"/>
  <c r="AJ24" i="20" s="1"/>
  <c r="AK24" i="20" s="1"/>
  <c r="AL24" i="20" s="1"/>
  <c r="AM24" i="20" s="1"/>
  <c r="AN24" i="20" s="1"/>
  <c r="AO24" i="20" s="1"/>
  <c r="AP24" i="20" s="1"/>
  <c r="AG20" i="20"/>
  <c r="AG21" i="20"/>
  <c r="AH21" i="20" s="1"/>
  <c r="AI21" i="20" s="1"/>
  <c r="AJ21" i="20" s="1"/>
  <c r="AK21" i="20" s="1"/>
  <c r="AL21" i="20" s="1"/>
  <c r="AM21" i="20" s="1"/>
  <c r="AN21" i="20" s="1"/>
  <c r="AO21" i="20" s="1"/>
  <c r="AP21" i="20" s="1"/>
  <c r="C34" i="36"/>
  <c r="H34" i="36" s="1"/>
  <c r="H31" i="36"/>
  <c r="E28" i="36"/>
  <c r="H28" i="36" s="1"/>
  <c r="G26" i="36"/>
  <c r="G28" i="36" s="1"/>
  <c r="G23" i="36"/>
  <c r="F26" i="36"/>
  <c r="F28" i="36" s="1"/>
  <c r="F23" i="36"/>
  <c r="H20" i="36"/>
  <c r="H13" i="19"/>
  <c r="H17" i="19" s="1"/>
  <c r="L15" i="27"/>
  <c r="G13" i="19"/>
  <c r="K15" i="27"/>
  <c r="E23" i="36"/>
  <c r="H21" i="36"/>
  <c r="AF72" i="20"/>
  <c r="AG72" i="20" s="1"/>
  <c r="AF74" i="20"/>
  <c r="AG74" i="20" s="1"/>
  <c r="AH74" i="20" s="1"/>
  <c r="AF73" i="20"/>
  <c r="AG73" i="20" s="1"/>
  <c r="AH73" i="20" s="1"/>
  <c r="AI73" i="20" s="1"/>
  <c r="AJ73" i="20" s="1"/>
  <c r="AK73" i="20" s="1"/>
  <c r="AL73" i="20" s="1"/>
  <c r="AM73" i="20" s="1"/>
  <c r="AN73" i="20" s="1"/>
  <c r="AO73" i="20" s="1"/>
  <c r="AP73" i="20" s="1"/>
  <c r="AF29" i="20"/>
  <c r="AF47" i="20" s="1"/>
  <c r="AB47" i="20"/>
  <c r="E20" i="26"/>
  <c r="F17" i="26"/>
  <c r="G17" i="26" s="1"/>
  <c r="H17" i="26" s="1"/>
  <c r="I17" i="26" s="1"/>
  <c r="J17" i="26" s="1"/>
  <c r="AF81" i="20"/>
  <c r="AF66" i="20"/>
  <c r="AG30" i="20"/>
  <c r="AH30" i="20" s="1"/>
  <c r="AI30" i="20" s="1"/>
  <c r="AJ30" i="20" s="1"/>
  <c r="AK30" i="20" s="1"/>
  <c r="AL30" i="20" s="1"/>
  <c r="AM30" i="20" s="1"/>
  <c r="AN30" i="20" s="1"/>
  <c r="AO30" i="20" s="1"/>
  <c r="AP30" i="20" s="1"/>
  <c r="AG42" i="20"/>
  <c r="AH42" i="20" s="1"/>
  <c r="AI42" i="20" s="1"/>
  <c r="AJ42" i="20" s="1"/>
  <c r="AK42" i="20" s="1"/>
  <c r="AL42" i="20" s="1"/>
  <c r="AH41" i="20"/>
  <c r="AI41" i="20" s="1"/>
  <c r="AJ41" i="20" s="1"/>
  <c r="AK41" i="20" s="1"/>
  <c r="AL41" i="20" s="1"/>
  <c r="AM41" i="20" s="1"/>
  <c r="AN41" i="20" s="1"/>
  <c r="AO41" i="20" s="1"/>
  <c r="AP41" i="20" s="1"/>
  <c r="AG39" i="20"/>
  <c r="AH39" i="20" s="1"/>
  <c r="AI39" i="20" s="1"/>
  <c r="AJ39" i="20" s="1"/>
  <c r="AK39" i="20" s="1"/>
  <c r="AL39" i="20" s="1"/>
  <c r="AM39" i="20" s="1"/>
  <c r="AN39" i="20" s="1"/>
  <c r="AO39" i="20" s="1"/>
  <c r="AP39" i="20" s="1"/>
  <c r="AG33" i="20"/>
  <c r="AH17" i="20"/>
  <c r="AI17" i="20" s="1"/>
  <c r="AJ17" i="20" s="1"/>
  <c r="AK17" i="20" s="1"/>
  <c r="AL17" i="20" s="1"/>
  <c r="AM17" i="20" s="1"/>
  <c r="AN17" i="20" s="1"/>
  <c r="AO17" i="20" s="1"/>
  <c r="AP17" i="20" s="1"/>
  <c r="AG40" i="20"/>
  <c r="AH40" i="20" s="1"/>
  <c r="AI40" i="20" s="1"/>
  <c r="AJ40" i="20" s="1"/>
  <c r="AK40" i="20" s="1"/>
  <c r="AL40" i="20" s="1"/>
  <c r="AM40" i="20" s="1"/>
  <c r="AN40" i="20" s="1"/>
  <c r="AO40" i="20" s="1"/>
  <c r="AP40" i="20" s="1"/>
  <c r="Y66" i="20"/>
  <c r="AH19" i="20"/>
  <c r="AI19" i="20" s="1"/>
  <c r="AJ19" i="20" s="1"/>
  <c r="AK19" i="20" s="1"/>
  <c r="AL19" i="20" s="1"/>
  <c r="AM19" i="20" s="1"/>
  <c r="AN19" i="20" s="1"/>
  <c r="AO19" i="20" s="1"/>
  <c r="AP19" i="20" s="1"/>
  <c r="AG70" i="20"/>
  <c r="AH70" i="20" s="1"/>
  <c r="AI70" i="20" s="1"/>
  <c r="AJ70" i="20" s="1"/>
  <c r="AK70" i="20" s="1"/>
  <c r="AL70" i="20" s="1"/>
  <c r="AM70" i="20" s="1"/>
  <c r="AN70" i="20" s="1"/>
  <c r="AO70" i="20" s="1"/>
  <c r="AP70" i="20" s="1"/>
  <c r="AG71" i="20"/>
  <c r="AH71" i="20" s="1"/>
  <c r="AI71" i="20" s="1"/>
  <c r="AJ71" i="20" s="1"/>
  <c r="AK71" i="20" s="1"/>
  <c r="AL71" i="20" s="1"/>
  <c r="AM71" i="20" s="1"/>
  <c r="AN71" i="20" s="1"/>
  <c r="AO71" i="20" s="1"/>
  <c r="AG69" i="20"/>
  <c r="T47" i="20"/>
  <c r="AG50" i="20"/>
  <c r="AH50" i="20" s="1"/>
  <c r="AH66" i="20" s="1"/>
  <c r="AH22" i="20"/>
  <c r="AI22" i="20" s="1"/>
  <c r="AJ22" i="20" s="1"/>
  <c r="AK22" i="20" s="1"/>
  <c r="AL22" i="20" s="1"/>
  <c r="AM22" i="20" s="1"/>
  <c r="AN22" i="20" s="1"/>
  <c r="AO22" i="20" s="1"/>
  <c r="AP22" i="20" s="1"/>
  <c r="AG43" i="20"/>
  <c r="AH43" i="20" s="1"/>
  <c r="AI43" i="20" s="1"/>
  <c r="AJ43" i="20" s="1"/>
  <c r="AK43" i="20" s="1"/>
  <c r="AL43" i="20" s="1"/>
  <c r="AM43" i="20" s="1"/>
  <c r="AN43" i="20" s="1"/>
  <c r="AO43" i="20" s="1"/>
  <c r="AP43" i="20" s="1"/>
  <c r="AG34" i="20"/>
  <c r="AH34" i="20" s="1"/>
  <c r="AI34" i="20" s="1"/>
  <c r="AJ34" i="20" s="1"/>
  <c r="AK34" i="20" s="1"/>
  <c r="AL34" i="20" s="1"/>
  <c r="AM34" i="20" s="1"/>
  <c r="AN34" i="20" s="1"/>
  <c r="AO34" i="20" s="1"/>
  <c r="AP34" i="20" s="1"/>
  <c r="AH18" i="20"/>
  <c r="AI18" i="20" s="1"/>
  <c r="AJ18" i="20" s="1"/>
  <c r="AK18" i="20" s="1"/>
  <c r="AL18" i="20" s="1"/>
  <c r="AM18" i="20" s="1"/>
  <c r="AN18" i="20" s="1"/>
  <c r="AO18" i="20" s="1"/>
  <c r="AP18" i="20" s="1"/>
  <c r="T81" i="20"/>
  <c r="AG79" i="20"/>
  <c r="AG81" i="20" s="1"/>
  <c r="T66" i="20"/>
  <c r="AH38" i="20"/>
  <c r="AG31" i="20"/>
  <c r="AH31" i="20" s="1"/>
  <c r="V66" i="20"/>
  <c r="Y26" i="20"/>
  <c r="AG32" i="20"/>
  <c r="W66" i="20"/>
  <c r="I81" i="20"/>
  <c r="I83" i="20" s="1"/>
  <c r="T26" i="20"/>
  <c r="AF16" i="20"/>
  <c r="AG16" i="20" s="1"/>
  <c r="AG51" i="20"/>
  <c r="AH51" i="20" s="1"/>
  <c r="AI51" i="20" s="1"/>
  <c r="AJ51" i="20" s="1"/>
  <c r="AK51" i="20" s="1"/>
  <c r="AL51" i="20" s="1"/>
  <c r="AM51" i="20" s="1"/>
  <c r="AN51" i="20" s="1"/>
  <c r="AO51" i="20" s="1"/>
  <c r="AP51" i="20" s="1"/>
  <c r="W72" i="20"/>
  <c r="W76" i="20" s="1"/>
  <c r="V72" i="20"/>
  <c r="X72" i="20"/>
  <c r="X76" i="20" s="1"/>
  <c r="F28" i="47"/>
  <c r="I30" i="47"/>
  <c r="E16" i="47"/>
  <c r="F17" i="47"/>
  <c r="I19" i="47"/>
  <c r="O25" i="27"/>
  <c r="K15" i="19"/>
  <c r="G14" i="19"/>
  <c r="M41" i="27"/>
  <c r="M40" i="27"/>
  <c r="M42" i="27"/>
  <c r="L40" i="27"/>
  <c r="L42" i="27"/>
  <c r="L41" i="27"/>
  <c r="N42" i="27"/>
  <c r="N41" i="27"/>
  <c r="N40" i="27"/>
  <c r="O40" i="27"/>
  <c r="O68" i="27" s="1"/>
  <c r="O42" i="27"/>
  <c r="O70" i="27" s="1"/>
  <c r="O41" i="27"/>
  <c r="O69" i="27" s="1"/>
  <c r="J39" i="19"/>
  <c r="G39" i="19"/>
  <c r="K39" i="19"/>
  <c r="H39" i="19"/>
  <c r="E39" i="19"/>
  <c r="I39" i="19"/>
  <c r="H42" i="34"/>
  <c r="G26" i="34"/>
  <c r="G38" i="11" s="1"/>
  <c r="G39" i="34"/>
  <c r="G39" i="11" s="1"/>
  <c r="H39" i="34"/>
  <c r="H39" i="11" s="1"/>
  <c r="H26" i="34"/>
  <c r="H38" i="11" s="1"/>
  <c r="N25" i="27"/>
  <c r="M20" i="27"/>
  <c r="L25" i="27"/>
  <c r="N12" i="27"/>
  <c r="M15" i="27"/>
  <c r="I13" i="19"/>
  <c r="I17" i="19" s="1"/>
  <c r="N20" i="27"/>
  <c r="K22" i="27"/>
  <c r="K25" i="27" s="1"/>
  <c r="K20" i="27"/>
  <c r="L20" i="27"/>
  <c r="O17" i="27"/>
  <c r="P17" i="27" s="1"/>
  <c r="M25" i="27"/>
  <c r="I103" i="47" l="1"/>
  <c r="N48" i="11" s="1"/>
  <c r="AH20" i="20"/>
  <c r="AG26" i="20"/>
  <c r="AG83" i="20" s="1"/>
  <c r="AI38" i="20"/>
  <c r="AJ38" i="20" s="1"/>
  <c r="AK38" i="20" s="1"/>
  <c r="AL38" i="20" s="1"/>
  <c r="AM38" i="20" s="1"/>
  <c r="AN38" i="20" s="1"/>
  <c r="AO38" i="20" s="1"/>
  <c r="AP38" i="20" s="1"/>
  <c r="C17" i="47"/>
  <c r="AP71" i="20"/>
  <c r="K11" i="27"/>
  <c r="F12" i="11" s="1"/>
  <c r="M32" i="27"/>
  <c r="K14" i="19"/>
  <c r="J13" i="19"/>
  <c r="J17" i="19" s="1"/>
  <c r="J18" i="19" s="1"/>
  <c r="N11" i="27"/>
  <c r="H26" i="36"/>
  <c r="AD79" i="20"/>
  <c r="AD81" i="20" s="1"/>
  <c r="AD83" i="20" s="1"/>
  <c r="O45" i="11" s="1"/>
  <c r="AC79" i="20"/>
  <c r="AC81" i="20" s="1"/>
  <c r="AC83" i="20" s="1"/>
  <c r="N45" i="11" s="1"/>
  <c r="E86" i="47"/>
  <c r="F48" i="11"/>
  <c r="E27" i="47"/>
  <c r="D26" i="45"/>
  <c r="AI20" i="20"/>
  <c r="F45" i="11"/>
  <c r="AI50" i="20"/>
  <c r="AJ50" i="20" s="1"/>
  <c r="M68" i="27"/>
  <c r="M93" i="27" s="1"/>
  <c r="L70" i="27"/>
  <c r="N68" i="27"/>
  <c r="N93" i="27" s="1"/>
  <c r="M69" i="27"/>
  <c r="M94" i="27" s="1"/>
  <c r="K32" i="27"/>
  <c r="N69" i="27"/>
  <c r="L68" i="27"/>
  <c r="L93" i="27" s="1"/>
  <c r="H23" i="36"/>
  <c r="L69" i="27"/>
  <c r="L94" i="27" s="1"/>
  <c r="L14" i="19"/>
  <c r="Q17" i="27"/>
  <c r="P20" i="27"/>
  <c r="N70" i="27"/>
  <c r="N95" i="27" s="1"/>
  <c r="M70" i="27"/>
  <c r="M95" i="27" s="1"/>
  <c r="L32" i="27"/>
  <c r="J36" i="36"/>
  <c r="AG29" i="20"/>
  <c r="AM42" i="20"/>
  <c r="AF76" i="20"/>
  <c r="K81" i="20"/>
  <c r="AN47" i="43" s="1"/>
  <c r="G20" i="26"/>
  <c r="K17" i="26"/>
  <c r="J20" i="26"/>
  <c r="J41" i="26" s="1"/>
  <c r="K34" i="11" s="1"/>
  <c r="BL38" i="43" s="1"/>
  <c r="X79" i="20"/>
  <c r="AJ79" i="20" s="1"/>
  <c r="AJ81" i="20" s="1"/>
  <c r="AH33" i="20"/>
  <c r="AI33" i="20" s="1"/>
  <c r="AJ33" i="20" s="1"/>
  <c r="AK33" i="20" s="1"/>
  <c r="AL33" i="20" s="1"/>
  <c r="AM33" i="20" s="1"/>
  <c r="AN33" i="20" s="1"/>
  <c r="AO33" i="20" s="1"/>
  <c r="AP33" i="20" s="1"/>
  <c r="AH72" i="20"/>
  <c r="AI72" i="20" s="1"/>
  <c r="AJ72" i="20" s="1"/>
  <c r="AK72" i="20" s="1"/>
  <c r="AL72" i="20" s="1"/>
  <c r="AM72" i="20" s="1"/>
  <c r="AN72" i="20" s="1"/>
  <c r="AO72" i="20" s="1"/>
  <c r="AP72" i="20" s="1"/>
  <c r="AG66" i="20"/>
  <c r="T83" i="20"/>
  <c r="D45" i="11" s="1"/>
  <c r="AH69" i="20"/>
  <c r="AI69" i="20" s="1"/>
  <c r="AJ69" i="20" s="1"/>
  <c r="AK69" i="20" s="1"/>
  <c r="AL69" i="20" s="1"/>
  <c r="AI31" i="20"/>
  <c r="AJ31" i="20" s="1"/>
  <c r="AK31" i="20" s="1"/>
  <c r="AL31" i="20" s="1"/>
  <c r="AM31" i="20" s="1"/>
  <c r="AN31" i="20" s="1"/>
  <c r="AO31" i="20" s="1"/>
  <c r="AP31" i="20" s="1"/>
  <c r="AG76" i="20"/>
  <c r="AH32" i="20"/>
  <c r="AI32" i="20" s="1"/>
  <c r="AJ32" i="20" s="1"/>
  <c r="AK32" i="20" s="1"/>
  <c r="AL32" i="20" s="1"/>
  <c r="AM32" i="20" s="1"/>
  <c r="AN32" i="20" s="1"/>
  <c r="AO32" i="20" s="1"/>
  <c r="AP32" i="20" s="1"/>
  <c r="AF26" i="20"/>
  <c r="L81" i="20"/>
  <c r="L83" i="20" s="1"/>
  <c r="F37" i="47"/>
  <c r="C28" i="47"/>
  <c r="AI74" i="20"/>
  <c r="F20" i="26"/>
  <c r="H20" i="26"/>
  <c r="O94" i="27"/>
  <c r="W94" i="27" s="1"/>
  <c r="O95" i="27"/>
  <c r="W95" i="27" s="1"/>
  <c r="O93" i="27"/>
  <c r="W93" i="27" s="1"/>
  <c r="O72" i="27"/>
  <c r="K56" i="27"/>
  <c r="K68" i="27" s="1"/>
  <c r="K58" i="27"/>
  <c r="K57" i="27"/>
  <c r="O12" i="27"/>
  <c r="O11" i="27" s="1"/>
  <c r="H40" i="11"/>
  <c r="I42" i="34"/>
  <c r="J42" i="34" s="1"/>
  <c r="K42" i="34" s="1"/>
  <c r="I26" i="34"/>
  <c r="I38" i="11" s="1"/>
  <c r="I39" i="34"/>
  <c r="G39" i="26"/>
  <c r="N15" i="27"/>
  <c r="N32" i="27" s="1"/>
  <c r="H18" i="19"/>
  <c r="O20" i="27"/>
  <c r="F19" i="34"/>
  <c r="F45" i="34" s="1"/>
  <c r="G15" i="19"/>
  <c r="G17" i="19" s="1"/>
  <c r="I18" i="19"/>
  <c r="E18" i="19"/>
  <c r="E54" i="19" s="1"/>
  <c r="F39" i="26"/>
  <c r="I20" i="26"/>
  <c r="E41" i="26"/>
  <c r="F34" i="11" s="1"/>
  <c r="H39" i="26"/>
  <c r="J38" i="43" l="1"/>
  <c r="K38" i="43"/>
  <c r="N72" i="27"/>
  <c r="D17" i="47"/>
  <c r="D25" i="45"/>
  <c r="D30" i="45" s="1"/>
  <c r="P66" i="43"/>
  <c r="M72" i="27"/>
  <c r="F38" i="43"/>
  <c r="E38" i="43"/>
  <c r="N38" i="43"/>
  <c r="I38" i="43"/>
  <c r="G38" i="43"/>
  <c r="O38" i="43"/>
  <c r="H38" i="43"/>
  <c r="L38" i="43"/>
  <c r="D38" i="43"/>
  <c r="M38" i="43"/>
  <c r="D51" i="11"/>
  <c r="C87" i="47"/>
  <c r="K103" i="47" s="1"/>
  <c r="AI66" i="20"/>
  <c r="L72" i="27"/>
  <c r="AF83" i="20"/>
  <c r="C14" i="45" s="1"/>
  <c r="AJ20" i="20"/>
  <c r="AJ83" i="20" s="1"/>
  <c r="AH29" i="20"/>
  <c r="D14" i="45"/>
  <c r="AZ47" i="43"/>
  <c r="D47" i="11"/>
  <c r="K13" i="19"/>
  <c r="K17" i="19" s="1"/>
  <c r="K18" i="19" s="1"/>
  <c r="P12" i="27"/>
  <c r="P11" i="27" s="1"/>
  <c r="M14" i="19"/>
  <c r="R17" i="27"/>
  <c r="S17" i="27" s="1"/>
  <c r="Q20" i="27"/>
  <c r="N94" i="27"/>
  <c r="L95" i="27"/>
  <c r="K70" i="27"/>
  <c r="K95" i="27" s="1"/>
  <c r="V95" i="27" s="1"/>
  <c r="AM69" i="20"/>
  <c r="K69" i="27"/>
  <c r="K94" i="27" s="1"/>
  <c r="V94" i="27" s="1"/>
  <c r="AN42" i="20"/>
  <c r="AO42" i="20" s="1"/>
  <c r="AP42" i="20" s="1"/>
  <c r="Z79" i="20"/>
  <c r="Z81" i="20" s="1"/>
  <c r="Z83" i="20" s="1"/>
  <c r="K45" i="11" s="1"/>
  <c r="AB79" i="20"/>
  <c r="AB81" i="20" s="1"/>
  <c r="AB83" i="20" s="1"/>
  <c r="M45" i="11" s="1"/>
  <c r="AA79" i="20"/>
  <c r="AA81" i="20" s="1"/>
  <c r="AA83" i="20" s="1"/>
  <c r="L45" i="11" s="1"/>
  <c r="Y79" i="20"/>
  <c r="Y81" i="20" s="1"/>
  <c r="Y83" i="20" s="1"/>
  <c r="L42" i="34"/>
  <c r="K40" i="11"/>
  <c r="I39" i="11"/>
  <c r="J39" i="34"/>
  <c r="K39" i="34" s="1"/>
  <c r="I12" i="11"/>
  <c r="K83" i="20"/>
  <c r="K93" i="27"/>
  <c r="V93" i="27" s="1"/>
  <c r="J81" i="20"/>
  <c r="L17" i="26"/>
  <c r="L20" i="26" s="1"/>
  <c r="L41" i="26" s="1"/>
  <c r="M34" i="11" s="1"/>
  <c r="BN38" i="43" s="1"/>
  <c r="K20" i="26"/>
  <c r="K41" i="26" s="1"/>
  <c r="L34" i="11" s="1"/>
  <c r="BM38" i="43" s="1"/>
  <c r="AK50" i="20"/>
  <c r="P47" i="43"/>
  <c r="W81" i="20"/>
  <c r="X81" i="20"/>
  <c r="X83" i="20" s="1"/>
  <c r="I45" i="11" s="1"/>
  <c r="V79" i="20"/>
  <c r="V81" i="20" s="1"/>
  <c r="V83" i="20" s="1"/>
  <c r="AH16" i="20"/>
  <c r="D28" i="47"/>
  <c r="AI76" i="20"/>
  <c r="AJ74" i="20"/>
  <c r="G41" i="26"/>
  <c r="H34" i="11" s="1"/>
  <c r="F41" i="26"/>
  <c r="G34" i="11" s="1"/>
  <c r="H41" i="26"/>
  <c r="I34" i="11" s="1"/>
  <c r="I54" i="19"/>
  <c r="H14" i="11"/>
  <c r="H54" i="19"/>
  <c r="G14" i="11"/>
  <c r="J54" i="19"/>
  <c r="I14" i="11"/>
  <c r="K72" i="27"/>
  <c r="O15" i="27"/>
  <c r="O32" i="27" s="1"/>
  <c r="I40" i="11"/>
  <c r="J26" i="34"/>
  <c r="J38" i="11" s="1"/>
  <c r="Q38" i="11" s="1"/>
  <c r="F37" i="11"/>
  <c r="G19" i="34"/>
  <c r="G45" i="34" s="1"/>
  <c r="F30" i="11"/>
  <c r="I19" i="34"/>
  <c r="I45" i="34" s="1"/>
  <c r="H19" i="34"/>
  <c r="H45" i="34" s="1"/>
  <c r="I39" i="26"/>
  <c r="I41" i="26" s="1"/>
  <c r="J34" i="11" s="1"/>
  <c r="J39" i="11" l="1"/>
  <c r="Q34" i="11"/>
  <c r="W83" i="20"/>
  <c r="H45" i="11" s="1"/>
  <c r="E17" i="47"/>
  <c r="O14" i="19"/>
  <c r="T17" i="27"/>
  <c r="S20" i="27"/>
  <c r="G48" i="11"/>
  <c r="D55" i="11"/>
  <c r="D45" i="45" s="1"/>
  <c r="AO38" i="43"/>
  <c r="AS38" i="43"/>
  <c r="AW38" i="43"/>
  <c r="AV38" i="43"/>
  <c r="AP38" i="43"/>
  <c r="AT38" i="43"/>
  <c r="AX38" i="43"/>
  <c r="AQ38" i="43"/>
  <c r="AU38" i="43"/>
  <c r="AY38" i="43"/>
  <c r="AR38" i="43"/>
  <c r="AN38" i="43"/>
  <c r="BA38" i="43"/>
  <c r="BE38" i="43"/>
  <c r="BI38" i="43"/>
  <c r="BH38" i="43"/>
  <c r="BB38" i="43"/>
  <c r="BF38" i="43"/>
  <c r="BJ38" i="43"/>
  <c r="BC38" i="43"/>
  <c r="BG38" i="43"/>
  <c r="BK38" i="43"/>
  <c r="BD38" i="43"/>
  <c r="AZ38" i="43"/>
  <c r="Q38" i="43"/>
  <c r="U38" i="43"/>
  <c r="Y38" i="43"/>
  <c r="T38" i="43"/>
  <c r="R38" i="43"/>
  <c r="V38" i="43"/>
  <c r="Z38" i="43"/>
  <c r="S38" i="43"/>
  <c r="W38" i="43"/>
  <c r="AA38" i="43"/>
  <c r="X38" i="43"/>
  <c r="P38" i="43"/>
  <c r="D87" i="47"/>
  <c r="AF38" i="43"/>
  <c r="AJ38" i="43"/>
  <c r="AB38" i="43"/>
  <c r="AC38" i="43"/>
  <c r="AG38" i="43"/>
  <c r="AK38" i="43"/>
  <c r="AD38" i="43"/>
  <c r="AH38" i="43"/>
  <c r="AL38" i="43"/>
  <c r="AE38" i="43"/>
  <c r="AI38" i="43"/>
  <c r="AM38" i="43"/>
  <c r="AB47" i="43"/>
  <c r="J83" i="20"/>
  <c r="S15" i="43"/>
  <c r="W15" i="43"/>
  <c r="P15" i="43"/>
  <c r="U15" i="43"/>
  <c r="Y15" i="43"/>
  <c r="R15" i="43"/>
  <c r="AA15" i="43"/>
  <c r="T15" i="43"/>
  <c r="X15" i="43"/>
  <c r="Q15" i="43"/>
  <c r="V15" i="43"/>
  <c r="Z15" i="43"/>
  <c r="AR15" i="43"/>
  <c r="AV15" i="43"/>
  <c r="AN15" i="43"/>
  <c r="AT15" i="43"/>
  <c r="AU15" i="43"/>
  <c r="AO15" i="43"/>
  <c r="AS15" i="43"/>
  <c r="AW15" i="43"/>
  <c r="AP15" i="43"/>
  <c r="AX15" i="43"/>
  <c r="AQ15" i="43"/>
  <c r="AY15" i="43"/>
  <c r="AF15" i="43"/>
  <c r="AJ15" i="43"/>
  <c r="AB15" i="43"/>
  <c r="AD15" i="43"/>
  <c r="AI15" i="43"/>
  <c r="AC15" i="43"/>
  <c r="AG15" i="43"/>
  <c r="AK15" i="43"/>
  <c r="AH15" i="43"/>
  <c r="AL15" i="43"/>
  <c r="AE15" i="43"/>
  <c r="AM15" i="43"/>
  <c r="C72" i="43"/>
  <c r="C73" i="43" s="1"/>
  <c r="AK20" i="20"/>
  <c r="AL20" i="20" s="1"/>
  <c r="AM20" i="20" s="1"/>
  <c r="AN20" i="20" s="1"/>
  <c r="AO20" i="20" s="1"/>
  <c r="AP20" i="20" s="1"/>
  <c r="AI29" i="20"/>
  <c r="AN69" i="20"/>
  <c r="AO69" i="20" s="1"/>
  <c r="K12" i="11"/>
  <c r="L13" i="19"/>
  <c r="Q12" i="27"/>
  <c r="Q11" i="27" s="1"/>
  <c r="P15" i="27"/>
  <c r="P32" i="27" s="1"/>
  <c r="N14" i="19"/>
  <c r="R20" i="27"/>
  <c r="F28" i="11"/>
  <c r="AK66" i="20"/>
  <c r="AL50" i="20"/>
  <c r="J45" i="11"/>
  <c r="M42" i="34"/>
  <c r="M40" i="11" s="1"/>
  <c r="L40" i="11"/>
  <c r="L39" i="34"/>
  <c r="K39" i="11"/>
  <c r="K45" i="34"/>
  <c r="K41" i="11" s="1"/>
  <c r="J12" i="11"/>
  <c r="G45" i="11"/>
  <c r="AH79" i="20"/>
  <c r="AH81" i="20" s="1"/>
  <c r="AH83" i="20" s="1"/>
  <c r="AI16" i="20"/>
  <c r="AI26" i="20" s="1"/>
  <c r="E28" i="47"/>
  <c r="AK74" i="20"/>
  <c r="AL74" i="20" s="1"/>
  <c r="K54" i="19"/>
  <c r="J14" i="11"/>
  <c r="I13" i="11"/>
  <c r="J40" i="11"/>
  <c r="J19" i="34"/>
  <c r="J45" i="34" s="1"/>
  <c r="H30" i="11"/>
  <c r="H37" i="11"/>
  <c r="I37" i="11"/>
  <c r="G37" i="11"/>
  <c r="G18" i="19"/>
  <c r="G54" i="19" s="1"/>
  <c r="F41" i="11"/>
  <c r="F48" i="34"/>
  <c r="I82" i="47" l="1"/>
  <c r="I104" i="47"/>
  <c r="O48" i="11" s="1"/>
  <c r="I20" i="47"/>
  <c r="E87" i="47"/>
  <c r="AP69" i="20"/>
  <c r="P14" i="19"/>
  <c r="T20" i="27"/>
  <c r="AB66" i="43"/>
  <c r="C18" i="47"/>
  <c r="Q40" i="11"/>
  <c r="Q45" i="11"/>
  <c r="C35" i="45"/>
  <c r="C37" i="45" s="1"/>
  <c r="C39" i="45" s="1"/>
  <c r="L17" i="19"/>
  <c r="L18" i="19" s="1"/>
  <c r="J13" i="11"/>
  <c r="BD15" i="43"/>
  <c r="BH15" i="43"/>
  <c r="AZ15" i="43"/>
  <c r="BC15" i="43"/>
  <c r="BA15" i="43"/>
  <c r="BE15" i="43"/>
  <c r="BI15" i="43"/>
  <c r="BB15" i="43"/>
  <c r="BF15" i="43"/>
  <c r="BJ15" i="43"/>
  <c r="BK15" i="43"/>
  <c r="BG15" i="43"/>
  <c r="D33" i="45"/>
  <c r="G33" i="45" s="1"/>
  <c r="H33" i="45" s="1"/>
  <c r="I33" i="45" s="1"/>
  <c r="J33" i="45" s="1"/>
  <c r="K33" i="45" s="1"/>
  <c r="AI47" i="20"/>
  <c r="C17" i="45"/>
  <c r="F25" i="11"/>
  <c r="G32" i="43"/>
  <c r="K32" i="43"/>
  <c r="O32" i="43"/>
  <c r="F32" i="43"/>
  <c r="H32" i="43"/>
  <c r="L32" i="43"/>
  <c r="N32" i="43"/>
  <c r="E32" i="43"/>
  <c r="I32" i="43"/>
  <c r="M32" i="43"/>
  <c r="D32" i="43"/>
  <c r="J32" i="43"/>
  <c r="AM74" i="20"/>
  <c r="AL76" i="20"/>
  <c r="L12" i="11"/>
  <c r="M13" i="19"/>
  <c r="R12" i="27"/>
  <c r="Q15" i="27"/>
  <c r="Q32" i="27" s="1"/>
  <c r="AL66" i="20"/>
  <c r="AM50" i="20"/>
  <c r="K36" i="11"/>
  <c r="BL40" i="43" s="1"/>
  <c r="L39" i="11"/>
  <c r="M39" i="34"/>
  <c r="N39" i="34" s="1"/>
  <c r="L45" i="34"/>
  <c r="L41" i="11" s="1"/>
  <c r="K48" i="34"/>
  <c r="AI79" i="20"/>
  <c r="AJ16" i="20"/>
  <c r="C29" i="47"/>
  <c r="K96" i="47" s="1"/>
  <c r="AK76" i="20"/>
  <c r="F14" i="11"/>
  <c r="G41" i="11"/>
  <c r="G36" i="11" s="1"/>
  <c r="G48" i="34"/>
  <c r="I30" i="11"/>
  <c r="I41" i="11"/>
  <c r="I48" i="34"/>
  <c r="J37" i="11"/>
  <c r="Q37" i="11" s="1"/>
  <c r="H41" i="11"/>
  <c r="H48" i="34"/>
  <c r="F36" i="11"/>
  <c r="N39" i="11" l="1"/>
  <c r="O39" i="34"/>
  <c r="N45" i="34"/>
  <c r="F43" i="11"/>
  <c r="E26" i="45"/>
  <c r="S12" i="27"/>
  <c r="R11" i="27"/>
  <c r="E25" i="45"/>
  <c r="K104" i="47"/>
  <c r="K14" i="11"/>
  <c r="L54" i="19"/>
  <c r="M17" i="19"/>
  <c r="M18" i="19" s="1"/>
  <c r="R40" i="43"/>
  <c r="V40" i="43"/>
  <c r="Z40" i="43"/>
  <c r="Y40" i="43"/>
  <c r="S40" i="43"/>
  <c r="W40" i="43"/>
  <c r="AA40" i="43"/>
  <c r="T40" i="43"/>
  <c r="X40" i="43"/>
  <c r="P40" i="43"/>
  <c r="Q40" i="43"/>
  <c r="U40" i="43"/>
  <c r="F40" i="43"/>
  <c r="J40" i="43"/>
  <c r="N40" i="43"/>
  <c r="M40" i="43"/>
  <c r="G40" i="43"/>
  <c r="K40" i="43"/>
  <c r="O40" i="43"/>
  <c r="E40" i="43"/>
  <c r="H40" i="43"/>
  <c r="L40" i="43"/>
  <c r="D40" i="43"/>
  <c r="I40" i="43"/>
  <c r="BL15" i="43"/>
  <c r="AK29" i="20"/>
  <c r="G28" i="11"/>
  <c r="M12" i="11"/>
  <c r="N13" i="19"/>
  <c r="R15" i="27"/>
  <c r="R32" i="27" s="1"/>
  <c r="AN74" i="20"/>
  <c r="AM76" i="20"/>
  <c r="AM66" i="20"/>
  <c r="AN50" i="20"/>
  <c r="L36" i="11"/>
  <c r="BM40" i="43" s="1"/>
  <c r="M39" i="11"/>
  <c r="M45" i="34"/>
  <c r="L48" i="34"/>
  <c r="AI81" i="20"/>
  <c r="AK16" i="20"/>
  <c r="AL16" i="20" s="1"/>
  <c r="D29" i="47"/>
  <c r="J30" i="11"/>
  <c r="Q30" i="11" s="1"/>
  <c r="I36" i="11"/>
  <c r="H36" i="11"/>
  <c r="J48" i="34"/>
  <c r="J41" i="11"/>
  <c r="N48" i="34" l="1"/>
  <c r="N41" i="11"/>
  <c r="N36" i="11" s="1"/>
  <c r="O39" i="11"/>
  <c r="O45" i="34"/>
  <c r="I105" i="47"/>
  <c r="K13" i="11"/>
  <c r="AN66" i="20"/>
  <c r="AO50" i="20"/>
  <c r="O13" i="19"/>
  <c r="O17" i="19" s="1"/>
  <c r="O18" i="19" s="1"/>
  <c r="T12" i="27"/>
  <c r="S11" i="27"/>
  <c r="N12" i="11" s="1"/>
  <c r="S15" i="27"/>
  <c r="S32" i="27" s="1"/>
  <c r="AN76" i="20"/>
  <c r="AO74" i="20"/>
  <c r="L14" i="11"/>
  <c r="BM15" i="43" s="1"/>
  <c r="M54" i="19"/>
  <c r="N17" i="19"/>
  <c r="N18" i="19" s="1"/>
  <c r="G25" i="11"/>
  <c r="G43" i="11" s="1"/>
  <c r="G47" i="11" s="1"/>
  <c r="AD40" i="43"/>
  <c r="AH40" i="43"/>
  <c r="AL40" i="43"/>
  <c r="AK40" i="43"/>
  <c r="AE40" i="43"/>
  <c r="AI40" i="43"/>
  <c r="AM40" i="43"/>
  <c r="AG40" i="43"/>
  <c r="AF40" i="43"/>
  <c r="AJ40" i="43"/>
  <c r="AB40" i="43"/>
  <c r="AC40" i="43"/>
  <c r="L13" i="11"/>
  <c r="AL29" i="20"/>
  <c r="E14" i="45"/>
  <c r="AA32" i="43"/>
  <c r="Q32" i="43"/>
  <c r="R32" i="43"/>
  <c r="V32" i="43"/>
  <c r="T32" i="43"/>
  <c r="U32" i="43"/>
  <c r="Z32" i="43"/>
  <c r="S32" i="43"/>
  <c r="X32" i="43"/>
  <c r="Y32" i="43"/>
  <c r="W32" i="43"/>
  <c r="P32" i="43"/>
  <c r="AI83" i="20"/>
  <c r="F14" i="45" s="1"/>
  <c r="AM16" i="20"/>
  <c r="AL26" i="20"/>
  <c r="AO40" i="43"/>
  <c r="AS40" i="43"/>
  <c r="AW40" i="43"/>
  <c r="AP40" i="43"/>
  <c r="AT40" i="43"/>
  <c r="AX40" i="43"/>
  <c r="AQ40" i="43"/>
  <c r="AU40" i="43"/>
  <c r="AY40" i="43"/>
  <c r="AR40" i="43"/>
  <c r="AV40" i="43"/>
  <c r="AN40" i="43"/>
  <c r="M48" i="34"/>
  <c r="M41" i="11"/>
  <c r="AK79" i="20"/>
  <c r="AL79" i="20" s="1"/>
  <c r="AK26" i="20"/>
  <c r="J105" i="47"/>
  <c r="J36" i="11"/>
  <c r="O48" i="34" l="1"/>
  <c r="O41" i="11"/>
  <c r="Q41" i="11" s="1"/>
  <c r="Q39" i="11"/>
  <c r="AP74" i="20"/>
  <c r="AP76" i="20" s="1"/>
  <c r="AO76" i="20"/>
  <c r="N14" i="11"/>
  <c r="N13" i="11" s="1"/>
  <c r="N43" i="11" s="1"/>
  <c r="O54" i="19"/>
  <c r="I106" i="47"/>
  <c r="P13" i="19"/>
  <c r="P17" i="19" s="1"/>
  <c r="P18" i="19" s="1"/>
  <c r="T11" i="27"/>
  <c r="O12" i="11" s="1"/>
  <c r="T15" i="27"/>
  <c r="T32" i="27" s="1"/>
  <c r="AO66" i="20"/>
  <c r="AP50" i="20"/>
  <c r="AP66" i="20" s="1"/>
  <c r="H48" i="11"/>
  <c r="M14" i="11"/>
  <c r="M13" i="11" s="1"/>
  <c r="N54" i="19"/>
  <c r="M36" i="11"/>
  <c r="BN40" i="43" s="1"/>
  <c r="AN66" i="43"/>
  <c r="F26" i="45"/>
  <c r="AM29" i="20"/>
  <c r="AL47" i="20"/>
  <c r="H28" i="11"/>
  <c r="I28" i="11"/>
  <c r="AN16" i="20"/>
  <c r="AM26" i="20"/>
  <c r="BA40" i="43"/>
  <c r="BE40" i="43"/>
  <c r="BI40" i="43"/>
  <c r="BF40" i="43"/>
  <c r="BB40" i="43"/>
  <c r="BJ40" i="43"/>
  <c r="BC40" i="43"/>
  <c r="BG40" i="43"/>
  <c r="BK40" i="43"/>
  <c r="BD40" i="43"/>
  <c r="BH40" i="43"/>
  <c r="AZ40" i="43"/>
  <c r="AL81" i="20"/>
  <c r="AM79" i="20"/>
  <c r="AK81" i="20"/>
  <c r="F25" i="45"/>
  <c r="F47" i="11"/>
  <c r="Q36" i="11" l="1"/>
  <c r="O36" i="11"/>
  <c r="BN15" i="43"/>
  <c r="N51" i="11"/>
  <c r="N53" i="11" s="1"/>
  <c r="N55" i="11" s="1"/>
  <c r="N47" i="11"/>
  <c r="P54" i="19"/>
  <c r="O14" i="11"/>
  <c r="AN26" i="20"/>
  <c r="AO16" i="20"/>
  <c r="AN29" i="20"/>
  <c r="AM47" i="20"/>
  <c r="G14" i="45"/>
  <c r="AQ32" i="43"/>
  <c r="AV32" i="43"/>
  <c r="AW32" i="43"/>
  <c r="AO32" i="43"/>
  <c r="AR32" i="43"/>
  <c r="AS32" i="43"/>
  <c r="I25" i="11"/>
  <c r="I43" i="11" s="1"/>
  <c r="I47" i="11" s="1"/>
  <c r="AU32" i="43"/>
  <c r="AP32" i="43"/>
  <c r="AN32" i="43"/>
  <c r="AN58" i="43" s="1"/>
  <c r="AY32" i="43"/>
  <c r="AY58" i="43" s="1"/>
  <c r="AT32" i="43"/>
  <c r="AX32" i="43"/>
  <c r="AF32" i="43"/>
  <c r="AC32" i="43"/>
  <c r="AH32" i="43"/>
  <c r="AM32" i="43"/>
  <c r="AL32" i="43"/>
  <c r="AE32" i="43"/>
  <c r="AJ32" i="43"/>
  <c r="AG32" i="43"/>
  <c r="H25" i="11"/>
  <c r="H43" i="11" s="1"/>
  <c r="AI32" i="43"/>
  <c r="AD32" i="43"/>
  <c r="AK32" i="43"/>
  <c r="AB32" i="43"/>
  <c r="AK83" i="20"/>
  <c r="AL83" i="20"/>
  <c r="AM81" i="20"/>
  <c r="AN79" i="20"/>
  <c r="I48" i="11"/>
  <c r="AN81" i="20" l="1"/>
  <c r="AO79" i="20"/>
  <c r="AO26" i="20"/>
  <c r="AP16" i="20"/>
  <c r="AP26" i="20" s="1"/>
  <c r="AN47" i="20"/>
  <c r="AO29" i="20"/>
  <c r="O13" i="11"/>
  <c r="O43" i="11" s="1"/>
  <c r="Q14" i="11"/>
  <c r="Q13" i="11" s="1"/>
  <c r="H47" i="11"/>
  <c r="K28" i="11"/>
  <c r="BL32" i="43" s="1"/>
  <c r="AN83" i="20"/>
  <c r="J28" i="11"/>
  <c r="AM83" i="20"/>
  <c r="O51" i="11" l="1"/>
  <c r="O53" i="11" s="1"/>
  <c r="O55" i="11" s="1"/>
  <c r="O47" i="11"/>
  <c r="AO47" i="20"/>
  <c r="AP29" i="20"/>
  <c r="AP47" i="20" s="1"/>
  <c r="AP79" i="20"/>
  <c r="AP81" i="20" s="1"/>
  <c r="AO81" i="20"/>
  <c r="AZ66" i="43"/>
  <c r="G26" i="45"/>
  <c r="K25" i="11"/>
  <c r="K43" i="11" s="1"/>
  <c r="K47" i="11" s="1"/>
  <c r="L28" i="11"/>
  <c r="L25" i="11" s="1"/>
  <c r="L43" i="11" s="1"/>
  <c r="L47" i="11" s="1"/>
  <c r="M28" i="11"/>
  <c r="BK32" i="43"/>
  <c r="BA32" i="43"/>
  <c r="BB32" i="43"/>
  <c r="BE32" i="43"/>
  <c r="BJ32" i="43"/>
  <c r="BI32" i="43"/>
  <c r="BF32" i="43"/>
  <c r="BD32" i="43"/>
  <c r="BC32" i="43"/>
  <c r="BH32" i="43"/>
  <c r="BG32" i="43"/>
  <c r="AZ32" i="43"/>
  <c r="J25" i="11"/>
  <c r="J43" i="11" s="1"/>
  <c r="G25" i="45"/>
  <c r="AO83" i="20" l="1"/>
  <c r="AP83" i="20"/>
  <c r="Q28" i="11"/>
  <c r="Q25" i="11" s="1"/>
  <c r="M25" i="11"/>
  <c r="M43" i="11" s="1"/>
  <c r="Q43" i="11" s="1"/>
  <c r="BM32" i="43"/>
  <c r="BN32" i="43"/>
  <c r="J47" i="11"/>
  <c r="J48" i="11"/>
  <c r="M47" i="11" l="1"/>
  <c r="Q47" i="11" s="1"/>
  <c r="BL66" i="43"/>
  <c r="H26" i="45"/>
  <c r="H25" i="45"/>
  <c r="K48" i="11" l="1"/>
  <c r="BM66" i="43" l="1"/>
  <c r="I26" i="45"/>
  <c r="I25" i="45"/>
  <c r="L48" i="11" l="1"/>
  <c r="J25" i="45" l="1"/>
  <c r="BN66" i="43"/>
  <c r="J26" i="45"/>
  <c r="K26" i="45" l="1"/>
  <c r="M48" i="11" l="1"/>
  <c r="Q48" i="11" s="1"/>
  <c r="K25" i="45" l="1"/>
  <c r="H52" i="43"/>
  <c r="H58" i="43" s="1"/>
  <c r="H72" i="43" s="1"/>
  <c r="L52" i="43"/>
  <c r="L58" i="43" s="1"/>
  <c r="L72" i="43" s="1"/>
  <c r="D52" i="43"/>
  <c r="D58" i="43" s="1"/>
  <c r="D72" i="43" s="1"/>
  <c r="D73" i="43" s="1"/>
  <c r="G52" i="43"/>
  <c r="E52" i="43"/>
  <c r="E58" i="43" s="1"/>
  <c r="E72" i="43" s="1"/>
  <c r="I52" i="43"/>
  <c r="I58" i="43" s="1"/>
  <c r="I72" i="43" s="1"/>
  <c r="M52" i="43"/>
  <c r="M58" i="43" s="1"/>
  <c r="M72" i="43" s="1"/>
  <c r="O52" i="43"/>
  <c r="O58" i="43" s="1"/>
  <c r="O72" i="43" s="1"/>
  <c r="F52" i="43"/>
  <c r="J52" i="43"/>
  <c r="N52" i="43"/>
  <c r="N58" i="43" s="1"/>
  <c r="N72" i="43" s="1"/>
  <c r="K52" i="43"/>
  <c r="K58" i="43" s="1"/>
  <c r="K72" i="43" s="1"/>
  <c r="F51" i="11"/>
  <c r="F53" i="11" s="1"/>
  <c r="J58" i="43" l="1"/>
  <c r="J72" i="43" s="1"/>
  <c r="F58" i="43"/>
  <c r="G58" i="43"/>
  <c r="G72" i="43" s="1"/>
  <c r="D37" i="47"/>
  <c r="I31" i="47" s="1"/>
  <c r="E73" i="43"/>
  <c r="T52" i="43"/>
  <c r="T58" i="43" s="1"/>
  <c r="T72" i="43" s="1"/>
  <c r="X52" i="43"/>
  <c r="X58" i="43" s="1"/>
  <c r="X72" i="43" s="1"/>
  <c r="P52" i="43"/>
  <c r="S52" i="43"/>
  <c r="S58" i="43" s="1"/>
  <c r="S72" i="43" s="1"/>
  <c r="Q52" i="43"/>
  <c r="Q58" i="43" s="1"/>
  <c r="Q72" i="43" s="1"/>
  <c r="U52" i="43"/>
  <c r="U58" i="43" s="1"/>
  <c r="U72" i="43" s="1"/>
  <c r="Y52" i="43"/>
  <c r="Y58" i="43" s="1"/>
  <c r="Y72" i="43" s="1"/>
  <c r="AA52" i="43"/>
  <c r="AA58" i="43" s="1"/>
  <c r="AA72" i="43" s="1"/>
  <c r="R52" i="43"/>
  <c r="R58" i="43" s="1"/>
  <c r="R72" i="43" s="1"/>
  <c r="V52" i="43"/>
  <c r="V58" i="43" s="1"/>
  <c r="V72" i="43" s="1"/>
  <c r="Z52" i="43"/>
  <c r="Z58" i="43" s="1"/>
  <c r="Z72" i="43" s="1"/>
  <c r="W52" i="43"/>
  <c r="W58" i="43" s="1"/>
  <c r="W72" i="43" s="1"/>
  <c r="F55" i="11"/>
  <c r="G51" i="11"/>
  <c r="O78" i="43" l="1"/>
  <c r="F72" i="43"/>
  <c r="F73" i="43" s="1"/>
  <c r="G73" i="43" s="1"/>
  <c r="H73" i="43" s="1"/>
  <c r="I73" i="43" s="1"/>
  <c r="J73" i="43" s="1"/>
  <c r="K73" i="43" s="1"/>
  <c r="L73" i="43" s="1"/>
  <c r="M73" i="43" s="1"/>
  <c r="N73" i="43" s="1"/>
  <c r="O73" i="43" s="1"/>
  <c r="D17" i="45" s="1"/>
  <c r="P58" i="43"/>
  <c r="P72" i="43" s="1"/>
  <c r="G53" i="11"/>
  <c r="E27" i="45" s="1"/>
  <c r="E30" i="45" s="1"/>
  <c r="D35" i="45"/>
  <c r="E37" i="47"/>
  <c r="AF52" i="43"/>
  <c r="AF58" i="43" s="1"/>
  <c r="AF72" i="43" s="1"/>
  <c r="AJ52" i="43"/>
  <c r="AJ58" i="43" s="1"/>
  <c r="AJ72" i="43" s="1"/>
  <c r="AB52" i="43"/>
  <c r="AB58" i="43" s="1"/>
  <c r="AB72" i="43" s="1"/>
  <c r="AE52" i="43"/>
  <c r="AE58" i="43" s="1"/>
  <c r="AE72" i="43" s="1"/>
  <c r="AC52" i="43"/>
  <c r="AC58" i="43" s="1"/>
  <c r="AC72" i="43" s="1"/>
  <c r="AG52" i="43"/>
  <c r="AG58" i="43" s="1"/>
  <c r="AG72" i="43" s="1"/>
  <c r="AK52" i="43"/>
  <c r="AK58" i="43" s="1"/>
  <c r="AK72" i="43" s="1"/>
  <c r="AI52" i="43"/>
  <c r="AI58" i="43" s="1"/>
  <c r="AI72" i="43" s="1"/>
  <c r="AM52" i="43"/>
  <c r="AM58" i="43" s="1"/>
  <c r="AM72" i="43" s="1"/>
  <c r="AD52" i="43"/>
  <c r="AD58" i="43" s="1"/>
  <c r="AD72" i="43" s="1"/>
  <c r="AH52" i="43"/>
  <c r="AH58" i="43" s="1"/>
  <c r="AH72" i="43" s="1"/>
  <c r="AL52" i="43"/>
  <c r="AL58" i="43" s="1"/>
  <c r="AL72" i="43" s="1"/>
  <c r="C18" i="45"/>
  <c r="C21" i="45" s="1"/>
  <c r="C48" i="45" s="1"/>
  <c r="H51" i="11"/>
  <c r="H53" i="11" s="1"/>
  <c r="F27" i="45" s="1"/>
  <c r="F30" i="45" s="1"/>
  <c r="E45" i="45"/>
  <c r="P73" i="43" l="1"/>
  <c r="Q73" i="43" s="1"/>
  <c r="R73" i="43" s="1"/>
  <c r="S73" i="43" s="1"/>
  <c r="T73" i="43" s="1"/>
  <c r="U73" i="43" s="1"/>
  <c r="V73" i="43" s="1"/>
  <c r="W73" i="43" s="1"/>
  <c r="X73" i="43" s="1"/>
  <c r="Y73" i="43" s="1"/>
  <c r="Z73" i="43" s="1"/>
  <c r="AA73" i="43" s="1"/>
  <c r="G55" i="11"/>
  <c r="F45" i="45" s="1"/>
  <c r="D37" i="45"/>
  <c r="D39" i="45" s="1"/>
  <c r="H55" i="11"/>
  <c r="D18" i="45"/>
  <c r="D21" i="45" s="1"/>
  <c r="AQ52" i="43"/>
  <c r="AQ58" i="43" s="1"/>
  <c r="AQ72" i="43" s="1"/>
  <c r="AU52" i="43"/>
  <c r="AU58" i="43" s="1"/>
  <c r="AU72" i="43" s="1"/>
  <c r="AN52" i="43"/>
  <c r="AN72" i="43" s="1"/>
  <c r="AP52" i="43"/>
  <c r="AP58" i="43" s="1"/>
  <c r="AP72" i="43" s="1"/>
  <c r="AY52" i="43"/>
  <c r="AY72" i="43" s="1"/>
  <c r="AR52" i="43"/>
  <c r="AR58" i="43" s="1"/>
  <c r="AR72" i="43" s="1"/>
  <c r="AV52" i="43"/>
  <c r="AV58" i="43" s="1"/>
  <c r="AV72" i="43" s="1"/>
  <c r="AT52" i="43"/>
  <c r="AT58" i="43" s="1"/>
  <c r="AT72" i="43" s="1"/>
  <c r="AO52" i="43"/>
  <c r="AO58" i="43" s="1"/>
  <c r="AO72" i="43" s="1"/>
  <c r="AS52" i="43"/>
  <c r="AS58" i="43" s="1"/>
  <c r="AS72" i="43" s="1"/>
  <c r="AW52" i="43"/>
  <c r="AW58" i="43" s="1"/>
  <c r="AW72" i="43" s="1"/>
  <c r="AX52" i="43"/>
  <c r="AX58" i="43" s="1"/>
  <c r="AX72" i="43" s="1"/>
  <c r="C42" i="45"/>
  <c r="I51" i="11"/>
  <c r="I53" i="11" s="1"/>
  <c r="AB73" i="43" l="1"/>
  <c r="AC73" i="43" s="1"/>
  <c r="AD73" i="43" s="1"/>
  <c r="AE73" i="43" s="1"/>
  <c r="AF73" i="43" s="1"/>
  <c r="AG73" i="43" s="1"/>
  <c r="AH73" i="43" s="1"/>
  <c r="AI73" i="43" s="1"/>
  <c r="AJ73" i="43" s="1"/>
  <c r="AK73" i="43" s="1"/>
  <c r="AL73" i="43" s="1"/>
  <c r="AM73" i="43" s="1"/>
  <c r="F17" i="45" s="1"/>
  <c r="E35" i="45"/>
  <c r="E37" i="45" s="1"/>
  <c r="E39" i="45" s="1"/>
  <c r="D42" i="45"/>
  <c r="D48" i="45"/>
  <c r="D44" i="45"/>
  <c r="BD52" i="43"/>
  <c r="BD58" i="43" s="1"/>
  <c r="BD72" i="43" s="1"/>
  <c r="BH52" i="43"/>
  <c r="BH58" i="43" s="1"/>
  <c r="BH72" i="43" s="1"/>
  <c r="AZ52" i="43"/>
  <c r="AZ58" i="43" s="1"/>
  <c r="AZ72" i="43" s="1"/>
  <c r="BC52" i="43"/>
  <c r="BC58" i="43" s="1"/>
  <c r="BC72" i="43" s="1"/>
  <c r="BG52" i="43"/>
  <c r="BG58" i="43" s="1"/>
  <c r="BG72" i="43" s="1"/>
  <c r="BA52" i="43"/>
  <c r="BA58" i="43" s="1"/>
  <c r="BA72" i="43" s="1"/>
  <c r="BE52" i="43"/>
  <c r="BI52" i="43"/>
  <c r="BI58" i="43" s="1"/>
  <c r="BI72" i="43" s="1"/>
  <c r="BK52" i="43"/>
  <c r="BK58" i="43" s="1"/>
  <c r="BK72" i="43" s="1"/>
  <c r="BB52" i="43"/>
  <c r="BB58" i="43" s="1"/>
  <c r="BB72" i="43" s="1"/>
  <c r="BF52" i="43"/>
  <c r="BF58" i="43" s="1"/>
  <c r="BF72" i="43" s="1"/>
  <c r="BJ52" i="43"/>
  <c r="BJ58" i="43" s="1"/>
  <c r="BJ72" i="43" s="1"/>
  <c r="BL52" i="43"/>
  <c r="J51" i="11"/>
  <c r="J53" i="11" s="1"/>
  <c r="E17" i="45" l="1"/>
  <c r="E18" i="45" s="1"/>
  <c r="E21" i="45" s="1"/>
  <c r="E44" i="45" s="1"/>
  <c r="AN73" i="43"/>
  <c r="AO73" i="43" s="1"/>
  <c r="AP73" i="43" s="1"/>
  <c r="AQ73" i="43" s="1"/>
  <c r="AR73" i="43" s="1"/>
  <c r="AS73" i="43" s="1"/>
  <c r="AT73" i="43" s="1"/>
  <c r="AU73" i="43" s="1"/>
  <c r="AV73" i="43" s="1"/>
  <c r="AW73" i="43" s="1"/>
  <c r="AX73" i="43" s="1"/>
  <c r="AY73" i="43" s="1"/>
  <c r="G17" i="45" s="1"/>
  <c r="G18" i="45" s="1"/>
  <c r="F35" i="45"/>
  <c r="F37" i="45" s="1"/>
  <c r="F39" i="45" s="1"/>
  <c r="G27" i="45"/>
  <c r="G30" i="45" s="1"/>
  <c r="BE57" i="43"/>
  <c r="BE58" i="43" s="1"/>
  <c r="BE72" i="43" s="1"/>
  <c r="F18" i="45"/>
  <c r="F21" i="45" s="1"/>
  <c r="I55" i="11"/>
  <c r="BM52" i="43"/>
  <c r="K51" i="11"/>
  <c r="K53" i="11" s="1"/>
  <c r="E48" i="45" l="1"/>
  <c r="E42" i="45"/>
  <c r="AZ73" i="43"/>
  <c r="BA73" i="43" s="1"/>
  <c r="BB73" i="43" s="1"/>
  <c r="BC73" i="43" s="1"/>
  <c r="BD73" i="43" s="1"/>
  <c r="BE73" i="43" s="1"/>
  <c r="BF73" i="43" s="1"/>
  <c r="BG73" i="43" s="1"/>
  <c r="BH73" i="43" s="1"/>
  <c r="BI73" i="43" s="1"/>
  <c r="BJ73" i="43" s="1"/>
  <c r="BK73" i="43" s="1"/>
  <c r="J55" i="11"/>
  <c r="BL57" i="43"/>
  <c r="BL58" i="43" s="1"/>
  <c r="BL72" i="43" s="1"/>
  <c r="H27" i="45"/>
  <c r="H30" i="45" s="1"/>
  <c r="K55" i="11"/>
  <c r="BM57" i="43"/>
  <c r="BM58" i="43" s="1"/>
  <c r="BM72" i="43" s="1"/>
  <c r="I27" i="45"/>
  <c r="I30" i="45" s="1"/>
  <c r="G35" i="45"/>
  <c r="G21" i="45"/>
  <c r="F44" i="45"/>
  <c r="F42" i="45"/>
  <c r="F48" i="45"/>
  <c r="L51" i="11"/>
  <c r="L53" i="11" s="1"/>
  <c r="G44" i="45" l="1"/>
  <c r="BL73" i="43"/>
  <c r="I17" i="45" s="1"/>
  <c r="I18" i="45" s="1"/>
  <c r="I21" i="45" s="1"/>
  <c r="L55" i="11"/>
  <c r="BN57" i="43"/>
  <c r="J27" i="45"/>
  <c r="J30" i="45" s="1"/>
  <c r="H17" i="45"/>
  <c r="H18" i="45" s="1"/>
  <c r="H21" i="45" s="1"/>
  <c r="H44" i="45" s="1"/>
  <c r="H35" i="45"/>
  <c r="G37" i="45"/>
  <c r="M51" i="11"/>
  <c r="M53" i="11" s="1"/>
  <c r="BN52" i="43"/>
  <c r="Q53" i="11" l="1"/>
  <c r="Q51" i="11"/>
  <c r="BN58" i="43"/>
  <c r="BN72" i="43" s="1"/>
  <c r="BM73" i="43"/>
  <c r="J17" i="45" s="1"/>
  <c r="J18" i="45" s="1"/>
  <c r="J21" i="45" s="1"/>
  <c r="G39" i="45"/>
  <c r="G48" i="45" s="1"/>
  <c r="G45" i="45"/>
  <c r="I35" i="45"/>
  <c r="H37" i="45"/>
  <c r="H39" i="45" s="1"/>
  <c r="H48" i="45" s="1"/>
  <c r="I44" i="45"/>
  <c r="M55" i="11" l="1"/>
  <c r="Q55" i="11" s="1"/>
  <c r="K27" i="45"/>
  <c r="K30" i="45" s="1"/>
  <c r="BN73" i="43"/>
  <c r="K17" i="45" s="1"/>
  <c r="K18" i="45" s="1"/>
  <c r="K21" i="45" s="1"/>
  <c r="K44" i="45" s="1"/>
  <c r="H45" i="45"/>
  <c r="J35" i="45"/>
  <c r="I37" i="45"/>
  <c r="G42" i="45"/>
  <c r="J44" i="45"/>
  <c r="I39" i="45" l="1"/>
  <c r="I48" i="45" s="1"/>
  <c r="I45" i="45"/>
  <c r="K35" i="45"/>
  <c r="K37" i="45" s="1"/>
  <c r="K39" i="45" s="1"/>
  <c r="K48" i="45" s="1"/>
  <c r="J37" i="45"/>
  <c r="J45" i="45" s="1"/>
  <c r="J39" i="45" l="1"/>
  <c r="J48" i="45" s="1"/>
  <c r="K45" i="45"/>
</calcChain>
</file>

<file path=xl/sharedStrings.xml><?xml version="1.0" encoding="utf-8"?>
<sst xmlns="http://schemas.openxmlformats.org/spreadsheetml/2006/main" count="478" uniqueCount="340">
  <si>
    <t>Car costs</t>
  </si>
  <si>
    <t>realised during depreciation</t>
  </si>
  <si>
    <t>EVD Budget &amp; Subsidy</t>
  </si>
  <si>
    <t>realised directly</t>
  </si>
  <si>
    <t>Nicolai &amp; Tabac</t>
  </si>
  <si>
    <t>Hardware</t>
  </si>
  <si>
    <t>Total Subsidy</t>
  </si>
  <si>
    <t>Depreciation</t>
  </si>
  <si>
    <t>Sales</t>
  </si>
  <si>
    <t>Result Before Taxation</t>
  </si>
  <si>
    <t>Production Building</t>
  </si>
  <si>
    <t>Machines</t>
  </si>
  <si>
    <t>Usefull life</t>
  </si>
  <si>
    <t>Investments ASSETS</t>
  </si>
  <si>
    <t>Total Assets</t>
  </si>
  <si>
    <t>Company Cars</t>
  </si>
  <si>
    <t>ELMINA PROJECT GHANA</t>
  </si>
  <si>
    <t>FLOW OF GOODS, SALES AND PAYMENTS</t>
  </si>
  <si>
    <t>Total</t>
  </si>
  <si>
    <t>Office costs</t>
  </si>
  <si>
    <t>Term</t>
  </si>
  <si>
    <t>Category</t>
  </si>
  <si>
    <t>Result 1</t>
  </si>
  <si>
    <t>Result 2</t>
  </si>
  <si>
    <t>Result 3</t>
  </si>
  <si>
    <t>Result 4</t>
  </si>
  <si>
    <t>Result 5</t>
  </si>
  <si>
    <t>covering costs</t>
  </si>
  <si>
    <t>Telephone &amp; internet costs</t>
  </si>
  <si>
    <t>Travel costs</t>
  </si>
  <si>
    <t>Labour costs</t>
  </si>
  <si>
    <t>Other Running Costs</t>
  </si>
  <si>
    <t>Total Other Running Costs</t>
  </si>
  <si>
    <t>Other Figures</t>
  </si>
  <si>
    <t>Finance</t>
  </si>
  <si>
    <t>Base Figures</t>
  </si>
  <si>
    <t>Mailing cost</t>
  </si>
  <si>
    <t>Part /related to construction materials</t>
  </si>
  <si>
    <t>depreciation per year</t>
  </si>
  <si>
    <t>bookvalue at end year</t>
  </si>
  <si>
    <t>ASSETS</t>
  </si>
  <si>
    <t>Office supply</t>
  </si>
  <si>
    <t>Car maintenance</t>
  </si>
  <si>
    <t>Turnover</t>
  </si>
  <si>
    <t>Cash Flow Statement</t>
  </si>
  <si>
    <t>CASH FLOWS FROM OPERATING ACTIVITIES</t>
  </si>
  <si>
    <t>Incoming cash from equity</t>
  </si>
  <si>
    <t>Interest received on net cash (2%)</t>
  </si>
  <si>
    <t>Outgoing cash to equity</t>
  </si>
  <si>
    <t>CASH FLOW POSITION</t>
  </si>
  <si>
    <t>Accumulated cash flow position</t>
  </si>
  <si>
    <t>% of Revenues</t>
  </si>
  <si>
    <t>% of Expenses</t>
  </si>
  <si>
    <t>Y1/1</t>
  </si>
  <si>
    <t>Y1/2</t>
  </si>
  <si>
    <t>Y1/3</t>
  </si>
  <si>
    <t>Y1/4</t>
  </si>
  <si>
    <t>Y1/5</t>
  </si>
  <si>
    <t>Y1/6</t>
  </si>
  <si>
    <t>Y1/7</t>
  </si>
  <si>
    <t>Y1/8</t>
  </si>
  <si>
    <t>Y1/9</t>
  </si>
  <si>
    <t>Y1/10</t>
  </si>
  <si>
    <t>Y1/11</t>
  </si>
  <si>
    <t>Y1/12</t>
  </si>
  <si>
    <t>Y2/1</t>
  </si>
  <si>
    <t>Y2/2</t>
  </si>
  <si>
    <t>Y2/3</t>
  </si>
  <si>
    <t>Y2/4</t>
  </si>
  <si>
    <t>Y2/5</t>
  </si>
  <si>
    <t>Y2/6</t>
  </si>
  <si>
    <t>Y2/7</t>
  </si>
  <si>
    <t>Y2/8</t>
  </si>
  <si>
    <t>Y2/9</t>
  </si>
  <si>
    <t>Y2/10</t>
  </si>
  <si>
    <t>Y2/11</t>
  </si>
  <si>
    <t>Y2/12</t>
  </si>
  <si>
    <t>Y3/1</t>
  </si>
  <si>
    <t>Y3/2</t>
  </si>
  <si>
    <t>Y3/3</t>
  </si>
  <si>
    <t>Y3/4</t>
  </si>
  <si>
    <t>Y3/5</t>
  </si>
  <si>
    <t>Y3/6</t>
  </si>
  <si>
    <t>Y3/7</t>
  </si>
  <si>
    <t>Y3/8</t>
  </si>
  <si>
    <t>Y3/9</t>
  </si>
  <si>
    <t>Y3/10</t>
  </si>
  <si>
    <t>Y3/11</t>
  </si>
  <si>
    <t>Y3/12</t>
  </si>
  <si>
    <t>Y4/1</t>
  </si>
  <si>
    <t>Y4/2</t>
  </si>
  <si>
    <t>Y4/3</t>
  </si>
  <si>
    <t>Y4/4</t>
  </si>
  <si>
    <t>Y4/5</t>
  </si>
  <si>
    <t>Y4/6</t>
  </si>
  <si>
    <t>Y4/7</t>
  </si>
  <si>
    <t>Y4/8</t>
  </si>
  <si>
    <t>Y4/9</t>
  </si>
  <si>
    <t>Y4/10</t>
  </si>
  <si>
    <t>Y4/11</t>
  </si>
  <si>
    <t>Y4/12</t>
  </si>
  <si>
    <t>Y5/1</t>
  </si>
  <si>
    <t>Y5/2</t>
  </si>
  <si>
    <t>Y5/3</t>
  </si>
  <si>
    <t>Y5/4</t>
  </si>
  <si>
    <t>Y5/5</t>
  </si>
  <si>
    <t>Y5/6</t>
  </si>
  <si>
    <t>Y5/7</t>
  </si>
  <si>
    <t>Y5/8</t>
  </si>
  <si>
    <t>Y5/9</t>
  </si>
  <si>
    <t>Y5/10</t>
  </si>
  <si>
    <t>Y5/11</t>
  </si>
  <si>
    <t>Y5/12</t>
  </si>
  <si>
    <t>Total Income</t>
  </si>
  <si>
    <t>Capital Expenditure</t>
  </si>
  <si>
    <t>Net evolution in cash and cash equivalents</t>
  </si>
  <si>
    <t>Controle</t>
  </si>
  <si>
    <t>Total Expenses</t>
  </si>
  <si>
    <t>Financial costs</t>
  </si>
  <si>
    <t>Financial income</t>
  </si>
  <si>
    <t>EBITDA</t>
  </si>
  <si>
    <t>EBIT</t>
  </si>
  <si>
    <t>Fixed Assets (net)</t>
  </si>
  <si>
    <t>Accounts Receivable</t>
  </si>
  <si>
    <t>Cash in Bank &amp; on hand</t>
  </si>
  <si>
    <t>Current Assets</t>
  </si>
  <si>
    <t>LIABILITIES</t>
  </si>
  <si>
    <t>Loans Outstanding Long Term (&gt;1yr)</t>
  </si>
  <si>
    <t>Loans Outstanding ST (&lt;1yr)</t>
  </si>
  <si>
    <t>Accounts Payable</t>
  </si>
  <si>
    <t>Total Liabilities</t>
  </si>
  <si>
    <t>EQUITY</t>
  </si>
  <si>
    <t>Share capital</t>
  </si>
  <si>
    <t>Results carried forward</t>
  </si>
  <si>
    <t>Total Equity</t>
  </si>
  <si>
    <t>Total Liabilities and Equity</t>
  </si>
  <si>
    <t>Net Result</t>
  </si>
  <si>
    <t>Taxes</t>
  </si>
  <si>
    <t>Financial Costs</t>
  </si>
  <si>
    <t>ROA</t>
  </si>
  <si>
    <t>ROE</t>
  </si>
  <si>
    <t>General fuel costs</t>
  </si>
  <si>
    <t xml:space="preserve">PROFIT AND LOSS </t>
  </si>
  <si>
    <t>BALANCE SHEET</t>
  </si>
  <si>
    <t>Financial business plan 5Y - conservative estimates</t>
  </si>
  <si>
    <t xml:space="preserve">Corporate Tax </t>
  </si>
  <si>
    <t>Other advisory</t>
  </si>
  <si>
    <t>Contingency</t>
  </si>
  <si>
    <t>Rolling equipment</t>
  </si>
  <si>
    <t xml:space="preserve">Corporate tax </t>
  </si>
  <si>
    <t>Other overhead costs</t>
  </si>
  <si>
    <t>Share capital not paid up</t>
  </si>
  <si>
    <t>Financial Fixed Assets</t>
  </si>
  <si>
    <t>Incoming cash from LT debt</t>
  </si>
  <si>
    <t>Incoming cash form ST debt</t>
  </si>
  <si>
    <t>Expenses not paid at year end</t>
  </si>
  <si>
    <t>Outgoing cash to LT debt</t>
  </si>
  <si>
    <t>Outgoing cash to ST debt</t>
  </si>
  <si>
    <t>Amount</t>
  </si>
  <si>
    <t>Totaal</t>
  </si>
  <si>
    <t>Period</t>
  </si>
  <si>
    <t>Outstanding capital</t>
  </si>
  <si>
    <t>Interest</t>
  </si>
  <si>
    <t>Capital repayment</t>
  </si>
  <si>
    <t>Annuity</t>
  </si>
  <si>
    <t>Periods</t>
  </si>
  <si>
    <t>Mensuality</t>
  </si>
  <si>
    <t>01/01/2019 - 31/12/2023</t>
  </si>
  <si>
    <t>Feed-in-Tariff</t>
  </si>
  <si>
    <t>FiT up to 0,5 MW (USD/kWh)</t>
  </si>
  <si>
    <t>FiT up to 10 MW (USD/kWh)</t>
  </si>
  <si>
    <t>Kenya</t>
  </si>
  <si>
    <t>Belgium</t>
  </si>
  <si>
    <t>X-rate KES/EUR</t>
  </si>
  <si>
    <t>X-rate USD/EUR</t>
  </si>
  <si>
    <t>Installed capacity</t>
  </si>
  <si>
    <t>Capacity factor</t>
  </si>
  <si>
    <t>Annual production</t>
  </si>
  <si>
    <t>Full load hours</t>
  </si>
  <si>
    <t>Installed capacity (kW)</t>
  </si>
  <si>
    <t>Capacity factor (%)</t>
  </si>
  <si>
    <t>Full load hours - avg p50 (hours/yr)</t>
  </si>
  <si>
    <t>Annual production (kWh/year)</t>
  </si>
  <si>
    <t>Off-grid capacity</t>
  </si>
  <si>
    <t>On-grid capacity</t>
  </si>
  <si>
    <t>Hydrobox CVBA (Belgium)</t>
  </si>
  <si>
    <t>Hydrobox Kenya Ltd</t>
  </si>
  <si>
    <t>On-grid</t>
  </si>
  <si>
    <t>Off-grid</t>
  </si>
  <si>
    <t>W</t>
  </si>
  <si>
    <t>Memberships</t>
  </si>
  <si>
    <t>International accoutancy</t>
  </si>
  <si>
    <t>Marketing &amp; communication officer</t>
  </si>
  <si>
    <t>Driver</t>
  </si>
  <si>
    <t>Guards</t>
  </si>
  <si>
    <t>Office rent Nairobi</t>
  </si>
  <si>
    <t>Utilities</t>
  </si>
  <si>
    <t>Car Costs</t>
  </si>
  <si>
    <t>Payments to third parties</t>
  </si>
  <si>
    <t>Carbon credits</t>
  </si>
  <si>
    <t>Gondo Kware (4)</t>
  </si>
  <si>
    <t>Gitugu site (1)</t>
  </si>
  <si>
    <t>Mihuti Gathigia (3)</t>
  </si>
  <si>
    <t>Kahinduni (2)</t>
  </si>
  <si>
    <t>Kewambogo (1)</t>
  </si>
  <si>
    <t>Site potential (Kw)</t>
  </si>
  <si>
    <t>(Turbulent)</t>
  </si>
  <si>
    <t>(JLA Hydro)</t>
  </si>
  <si>
    <t>Customers (#)</t>
  </si>
  <si>
    <t>Avg load (W)</t>
  </si>
  <si>
    <t>Remarks</t>
  </si>
  <si>
    <t>Households (18-24h)</t>
  </si>
  <si>
    <t>Energy services 24/7 (0-24h)</t>
  </si>
  <si>
    <t>Hours/day</t>
  </si>
  <si>
    <t>Total consumption EVENING (18h-24h)</t>
  </si>
  <si>
    <t>Refrigerators &amp; freezers, Outside lighting</t>
  </si>
  <si>
    <t>Businesses (6-18h)</t>
  </si>
  <si>
    <t>Factories (6-18h)</t>
  </si>
  <si>
    <t>Energy services DAY (6-18h)</t>
  </si>
  <si>
    <t>Total consumption DAY (6-18h)</t>
  </si>
  <si>
    <t>Total consumption NIGHT (24h-6h)</t>
  </si>
  <si>
    <t>Annual production NIGHT (24-6h) (kWh/year)</t>
  </si>
  <si>
    <t>Annual production DAY (6-18h) (kWh/yr)</t>
  </si>
  <si>
    <t>Annual production EVENING (18-24h) (kWh/yr)</t>
  </si>
  <si>
    <t>Installation planned for Jan 2020</t>
  </si>
  <si>
    <t>Installation planned for Jan 2021</t>
  </si>
  <si>
    <t>Installation planned for Jan 2022</t>
  </si>
  <si>
    <t>On-grid production = consumption (kWh/yr)</t>
  </si>
  <si>
    <t>Off-grid production TOTAL (0-24h) (kWh/yr)</t>
  </si>
  <si>
    <t>Off-grid consumption TOTAL (kWh/yr)</t>
  </si>
  <si>
    <t>Total supply</t>
  </si>
  <si>
    <t>Total demand</t>
  </si>
  <si>
    <t>Delta</t>
  </si>
  <si>
    <t>Delta  NIGHT (24h-6h)</t>
  </si>
  <si>
    <t>Delta  EVENING (18h-24h)</t>
  </si>
  <si>
    <t>Delta  DAY (6-18h)</t>
  </si>
  <si>
    <t>Sales prices</t>
  </si>
  <si>
    <t>Total off-grid sales (KES/year)</t>
  </si>
  <si>
    <t>Total off-grid sales (EUR/year)</t>
  </si>
  <si>
    <t>Total on-grid sales (USD/year)</t>
  </si>
  <si>
    <t>Total on-grid sales (EUR/year)</t>
  </si>
  <si>
    <t>Feed-in tariff</t>
  </si>
  <si>
    <t>Connection fees</t>
  </si>
  <si>
    <t>Direct sales</t>
  </si>
  <si>
    <t>Today</t>
  </si>
  <si>
    <t>Total income</t>
  </si>
  <si>
    <t>Total carbon credit income</t>
  </si>
  <si>
    <t>Total connection fees (KES/year)</t>
  </si>
  <si>
    <t>Total connection fees (EUR/year)</t>
  </si>
  <si>
    <t>On-grid - Feed in tariff</t>
  </si>
  <si>
    <t>Off grid - Connection fees</t>
  </si>
  <si>
    <t>Off grid - Direct sales</t>
  </si>
  <si>
    <t>Installed power (kW)</t>
  </si>
  <si>
    <t>Technicians</t>
  </si>
  <si>
    <t>Operations director</t>
  </si>
  <si>
    <t>Admin &amp; finance director</t>
  </si>
  <si>
    <t>Construction &amp; maintenance engineer</t>
  </si>
  <si>
    <t>Project development manager</t>
  </si>
  <si>
    <t>Sales manager</t>
  </si>
  <si>
    <t>Overhead costs</t>
  </si>
  <si>
    <t>Motorbikes</t>
  </si>
  <si>
    <t>ICT services</t>
  </si>
  <si>
    <t>Legal services</t>
  </si>
  <si>
    <t>Public relations</t>
  </si>
  <si>
    <t>General insurances</t>
  </si>
  <si>
    <t>Operations &amp; maintenance costs</t>
  </si>
  <si>
    <t>Development costs</t>
  </si>
  <si>
    <t>Production - Maintenance &amp; repairs</t>
  </si>
  <si>
    <t>T&amp;D - Maintenance &amp; repairs</t>
  </si>
  <si>
    <t>Env. &amp; social impact assessment</t>
  </si>
  <si>
    <t>Land &amp; buildings</t>
  </si>
  <si>
    <t xml:space="preserve">Power generation </t>
  </si>
  <si>
    <t xml:space="preserve">Transmission &amp; distribution </t>
  </si>
  <si>
    <t>4WD vehicles</t>
  </si>
  <si>
    <t>Land purchase - Gitugu</t>
  </si>
  <si>
    <t>Land purchase - Mihuti Gathigia</t>
  </si>
  <si>
    <t>Road construction</t>
  </si>
  <si>
    <t>Gating &amp; security</t>
  </si>
  <si>
    <t>Connection to grid - 688kw</t>
  </si>
  <si>
    <t>Connection to grid - 650kw</t>
  </si>
  <si>
    <t>Connection to grid - 437kw</t>
  </si>
  <si>
    <t>Mini-grid extension for customer connection</t>
  </si>
  <si>
    <t>Mini-grid improvements &amp; replacements</t>
  </si>
  <si>
    <t>Containerized power house (on-grid)</t>
  </si>
  <si>
    <t>Classic power house (off-grid)</t>
  </si>
  <si>
    <t>Avg fin cost</t>
  </si>
  <si>
    <t>Kenya clean ventures loan</t>
  </si>
  <si>
    <t>ING 4x4 purchase loan</t>
  </si>
  <si>
    <t>Grants</t>
  </si>
  <si>
    <t>Marketing &amp; sales</t>
  </si>
  <si>
    <t>Expat housing allowance</t>
  </si>
  <si>
    <t>Additional site</t>
  </si>
  <si>
    <t>Existing site; production of 47 kW in Q2 2019</t>
  </si>
  <si>
    <t>Existing site; increase from 15 to 25 kW as of Q2 2019, increase to 71 planned for Jan 2020</t>
  </si>
  <si>
    <t>Site feasibility assessment</t>
  </si>
  <si>
    <t>Subtotal</t>
  </si>
  <si>
    <t>Asset insurance</t>
  </si>
  <si>
    <t>Car &amp; motorbike insurance</t>
  </si>
  <si>
    <t>Licenses and general fees</t>
  </si>
  <si>
    <t>Audit, accountancy, tax</t>
  </si>
  <si>
    <t>Accountant - secretary</t>
  </si>
  <si>
    <t>Turbine, generators &amp; elec. installation - GITUGU</t>
  </si>
  <si>
    <t>Civil works, penstock - GITUGU</t>
  </si>
  <si>
    <t>Turbine, generators &amp; elec. installation - MIHUTI</t>
  </si>
  <si>
    <t>Civil works, penstock - MIHUTI</t>
  </si>
  <si>
    <t>Turbine, generators &amp; elec. installation - KAHINDUNI</t>
  </si>
  <si>
    <t>Civil works, penstock - KAHINDUNI</t>
  </si>
  <si>
    <t>Turbine, generators &amp; elec. installation - KEWAMBOGO</t>
  </si>
  <si>
    <t>Civil works, penstock - KEWAMBOGO</t>
  </si>
  <si>
    <t>Turbine, generators &amp; elec. installation - GONDO KWARE</t>
  </si>
  <si>
    <t>Civil works, penstock - GONDO KWARE</t>
  </si>
  <si>
    <t>Marketing &amp; communication</t>
  </si>
  <si>
    <t>Managing director</t>
  </si>
  <si>
    <t>Water pump (1,5 kW), chaff cutter (2 kW), Irons (1,5kW)</t>
  </si>
  <si>
    <t>Gituri Karuge (5)</t>
  </si>
  <si>
    <t>Gradual capacity increase</t>
  </si>
  <si>
    <t>Civil works, penstock - GITURI KARUGE</t>
  </si>
  <si>
    <t>Turbine, generators &amp; elec. installation - GITURI KARUGE</t>
  </si>
  <si>
    <t>Gondo Kware</t>
  </si>
  <si>
    <t>Carbon credit certification</t>
  </si>
  <si>
    <t xml:space="preserve">Sales collection </t>
  </si>
  <si>
    <t>Project development assistant</t>
  </si>
  <si>
    <t>Intrest payments</t>
  </si>
  <si>
    <t>Outstanding capital &gt;1 YR</t>
  </si>
  <si>
    <t>°</t>
  </si>
  <si>
    <t>Capital repayments &lt; 1 YR</t>
  </si>
  <si>
    <t>Project management support</t>
  </si>
  <si>
    <t>Turbine, generators &amp; elec. installation - OTHER SITE</t>
  </si>
  <si>
    <t>Civil works, penstock - OTHER SITE</t>
  </si>
  <si>
    <t>Land purchase - Gituri Karuge</t>
  </si>
  <si>
    <t>Land purchase - Gondo Kware</t>
  </si>
  <si>
    <t>Connection to grid - 500kw</t>
  </si>
  <si>
    <t>Contingency 10%</t>
  </si>
  <si>
    <t>Investment fund loan</t>
  </si>
  <si>
    <t>Working capital loan (Solylend)</t>
  </si>
  <si>
    <t>Triodos bank loan</t>
  </si>
  <si>
    <t>Consultancy, Audit &amp; Legal</t>
  </si>
  <si>
    <t>Technical expertise</t>
  </si>
  <si>
    <t>kW</t>
  </si>
  <si>
    <t xml:space="preserve">Bus development 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</si>
</sst>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[Red]&quot;€&quot;\ \-#,##0"/>
    <numFmt numFmtId="165" formatCode="&quot;€&quot;\ #,##0.00;[Red]&quot;€&quot;\ \-#,##0.00"/>
    <numFmt numFmtId="166" formatCode="_ * #,##0.00_ ;_ * \-#,##0.00_ ;_ * &quot;-&quot;??_ ;_ @_ "/>
    <numFmt numFmtId="167" formatCode="_-&quot;€&quot;\ * #,##0_-;_-&quot;€&quot;\ * #,##0\-;_-&quot;€&quot;\ * &quot;-&quot;_-;_-@_-"/>
    <numFmt numFmtId="168" formatCode="_-&quot;€&quot;\ * #,##0.00_-;_-&quot;€&quot;\ * #,##0.00\-;_-&quot;€&quot;\ * &quot;-&quot;??_-;_-@_-"/>
    <numFmt numFmtId="169" formatCode="_-* #,##0.00_-;_-* #,##0.00\-;_-* &quot;-&quot;??_-;_-@_-"/>
    <numFmt numFmtId="170" formatCode="_-&quot;€&quot;\ * #,##0_-;_-&quot;€&quot;\ * #,##0\-;_-&quot;€&quot;\ * &quot;-&quot;??_-;_-@_-"/>
    <numFmt numFmtId="171" formatCode="_-* #,##0_-;_-* #,##0\-;_-* &quot;-&quot;??_-;_-@_-"/>
    <numFmt numFmtId="172" formatCode="0.0%"/>
    <numFmt numFmtId="173" formatCode="[$-F800]dddd\,\ mmmm\ dd\,\ yyyy"/>
    <numFmt numFmtId="174" formatCode="[$$-409]#,##0"/>
    <numFmt numFmtId="175" formatCode="#,##0.0,;[Red]\(#,##0.0,\);\-_)_0"/>
    <numFmt numFmtId="176" formatCode="[$€-813]\ #,##0"/>
    <numFmt numFmtId="177" formatCode="&quot;€&quot;\ #,##0"/>
    <numFmt numFmtId="178" formatCode="&quot;€&quot;\ #,##0.00"/>
    <numFmt numFmtId="179" formatCode="#,##0_ ;\-#,##0\ "/>
    <numFmt numFmtId="180" formatCode="_-* #,##0.00_-;\-* #,##0.00_-;_-* &quot;-&quot;??_-;_-@_-"/>
    <numFmt numFmtId="181" formatCode="_-[$$-409]* #,##0.00_ ;_-[$$-409]* \-#,##0.00\ ;_-[$$-409]* &quot;-&quot;??_ ;_-@_ "/>
    <numFmt numFmtId="182" formatCode="_-[$$-409]* #,##0.000_ ;_-[$$-409]* \-#,##0.000\ ;_-[$$-409]* &quot;-&quot;???_ ;_-@_ "/>
    <numFmt numFmtId="183" formatCode="#,##0\ [$KES];\-#,##0\ [$KES]"/>
    <numFmt numFmtId="184" formatCode="_-[$€-2]\ * #,##0.00_-;\-[$€-2]\ * #,##0.00_-;_-[$€-2]\ * &quot;-&quot;??_-;_-@_-"/>
    <numFmt numFmtId="185" formatCode="[$€-813]\ #,##0.00;[$€-813]\ \-#,##0.00"/>
  </numFmts>
  <fonts count="66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Palatino"/>
      <family val="1"/>
    </font>
    <font>
      <b/>
      <sz val="16"/>
      <name val="Palatino"/>
      <family val="1"/>
    </font>
    <font>
      <b/>
      <sz val="10"/>
      <name val="Palatino"/>
      <family val="1"/>
    </font>
    <font>
      <sz val="8"/>
      <color indexed="8"/>
      <name val="Palatino"/>
      <family val="1"/>
    </font>
    <font>
      <b/>
      <sz val="8"/>
      <color indexed="9"/>
      <name val="Arial"/>
      <family val="2"/>
    </font>
    <font>
      <b/>
      <sz val="10"/>
      <color indexed="9"/>
      <name val="Palatino"/>
      <family val="1"/>
    </font>
    <font>
      <sz val="10"/>
      <color indexed="8"/>
      <name val="Palatino"/>
      <family val="1"/>
    </font>
    <font>
      <i/>
      <sz val="8"/>
      <name val="Palatino"/>
      <family val="1"/>
    </font>
    <font>
      <i/>
      <sz val="8"/>
      <color indexed="8"/>
      <name val="Palatino"/>
      <family val="1"/>
    </font>
    <font>
      <sz val="10"/>
      <name val="Geneva"/>
      <family val="2"/>
    </font>
    <font>
      <sz val="8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Palatino"/>
      <family val="1"/>
    </font>
    <font>
      <sz val="8"/>
      <color theme="1"/>
      <name val="Palatino"/>
      <family val="1"/>
    </font>
    <font>
      <b/>
      <sz val="12"/>
      <color theme="1"/>
      <name val="Arial"/>
      <family val="2"/>
    </font>
    <font>
      <sz val="12"/>
      <color rgb="FFFFFFFF"/>
      <name val="Palatino"/>
      <family val="1"/>
    </font>
    <font>
      <b/>
      <sz val="10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name val="Arial"/>
      <family val="2"/>
    </font>
    <font>
      <i/>
      <sz val="10"/>
      <color indexed="9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6EFCE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4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8" fillId="13" borderId="1" applyBorder="0"/>
    <xf numFmtId="169" fontId="3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0" fillId="0" borderId="0"/>
    <xf numFmtId="0" fontId="24" fillId="0" borderId="0"/>
    <xf numFmtId="0" fontId="33" fillId="0" borderId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168" fontId="3" fillId="0" borderId="0" applyFont="0" applyFill="0" applyBorder="0" applyAlignment="0" applyProtection="0"/>
    <xf numFmtId="0" fontId="60" fillId="19" borderId="0" applyNumberFormat="0" applyBorder="0" applyAlignment="0" applyProtection="0"/>
  </cellStyleXfs>
  <cellXfs count="441">
    <xf numFmtId="0" fontId="0" fillId="0" borderId="0" xfId="0"/>
    <xf numFmtId="0" fontId="4" fillId="0" borderId="0" xfId="0" applyFont="1"/>
    <xf numFmtId="170" fontId="0" fillId="0" borderId="0" xfId="4" applyNumberFormat="1" applyFont="1"/>
    <xf numFmtId="170" fontId="4" fillId="0" borderId="0" xfId="4" applyNumberFormat="1" applyFont="1"/>
    <xf numFmtId="170" fontId="4" fillId="0" borderId="2" xfId="4" applyNumberFormat="1" applyFont="1" applyBorder="1"/>
    <xf numFmtId="1" fontId="4" fillId="0" borderId="0" xfId="4" applyNumberFormat="1" applyFont="1" applyAlignment="1">
      <alignment horizontal="center"/>
    </xf>
    <xf numFmtId="171" fontId="0" fillId="0" borderId="0" xfId="7" applyNumberFormat="1" applyFont="1"/>
    <xf numFmtId="171" fontId="0" fillId="0" borderId="0" xfId="0" applyNumberFormat="1"/>
    <xf numFmtId="170" fontId="0" fillId="0" borderId="0" xfId="0" applyNumberFormat="1"/>
    <xf numFmtId="170" fontId="4" fillId="0" borderId="2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horizontal="right"/>
    </xf>
    <xf numFmtId="170" fontId="4" fillId="3" borderId="2" xfId="4" applyNumberFormat="1" applyFont="1" applyFill="1" applyBorder="1"/>
    <xf numFmtId="0" fontId="8" fillId="0" borderId="0" xfId="0" applyFont="1" applyBorder="1"/>
    <xf numFmtId="171" fontId="4" fillId="0" borderId="2" xfId="0" applyNumberFormat="1" applyFont="1" applyBorder="1"/>
    <xf numFmtId="171" fontId="4" fillId="0" borderId="0" xfId="7" applyNumberFormat="1" applyFont="1"/>
    <xf numFmtId="0" fontId="9" fillId="0" borderId="0" xfId="0" applyFont="1"/>
    <xf numFmtId="0" fontId="0" fillId="0" borderId="0" xfId="0" applyFill="1" applyBorder="1"/>
    <xf numFmtId="0" fontId="11" fillId="0" borderId="0" xfId="0" applyFont="1" applyBorder="1"/>
    <xf numFmtId="171" fontId="0" fillId="0" borderId="0" xfId="7" applyNumberFormat="1" applyFont="1" applyBorder="1"/>
    <xf numFmtId="0" fontId="0" fillId="0" borderId="0" xfId="0" applyFill="1"/>
    <xf numFmtId="171" fontId="0" fillId="0" borderId="0" xfId="7" applyNumberFormat="1" applyFont="1" applyFill="1" applyBorder="1"/>
    <xf numFmtId="0" fontId="4" fillId="0" borderId="0" xfId="0" applyFont="1" applyFill="1" applyBorder="1"/>
    <xf numFmtId="170" fontId="7" fillId="0" borderId="0" xfId="0" applyNumberFormat="1" applyFont="1" applyFill="1" applyBorder="1"/>
    <xf numFmtId="170" fontId="4" fillId="3" borderId="0" xfId="4" applyNumberFormat="1" applyFont="1" applyFill="1" applyBorder="1"/>
    <xf numFmtId="0" fontId="4" fillId="0" borderId="0" xfId="0" applyFont="1" applyFill="1" applyBorder="1" applyAlignment="1">
      <alignment horizontal="right"/>
    </xf>
    <xf numFmtId="170" fontId="4" fillId="0" borderId="0" xfId="4" applyNumberFormat="1" applyFont="1" applyFill="1" applyBorder="1"/>
    <xf numFmtId="170" fontId="4" fillId="0" borderId="0" xfId="0" applyNumberFormat="1" applyFont="1" applyFill="1" applyBorder="1"/>
    <xf numFmtId="170" fontId="13" fillId="0" borderId="0" xfId="0" applyNumberFormat="1" applyFont="1" applyFill="1" applyBorder="1"/>
    <xf numFmtId="171" fontId="4" fillId="0" borderId="0" xfId="7" applyNumberFormat="1" applyFont="1" applyBorder="1"/>
    <xf numFmtId="170" fontId="3" fillId="0" borderId="0" xfId="4" applyNumberFormat="1" applyBorder="1"/>
    <xf numFmtId="170" fontId="3" fillId="0" borderId="0" xfId="4" applyNumberFormat="1" applyFill="1" applyBorder="1"/>
    <xf numFmtId="170" fontId="4" fillId="0" borderId="2" xfId="4" applyNumberFormat="1" applyFont="1" applyFill="1" applyBorder="1"/>
    <xf numFmtId="170" fontId="4" fillId="0" borderId="0" xfId="0" applyNumberFormat="1" applyFont="1" applyBorder="1"/>
    <xf numFmtId="171" fontId="4" fillId="0" borderId="2" xfId="7" applyNumberFormat="1" applyFont="1" applyBorder="1"/>
    <xf numFmtId="0" fontId="11" fillId="0" borderId="0" xfId="0" applyFont="1"/>
    <xf numFmtId="171" fontId="8" fillId="0" borderId="0" xfId="7" applyNumberFormat="1" applyFont="1" applyBorder="1"/>
    <xf numFmtId="171" fontId="7" fillId="0" borderId="0" xfId="7" applyNumberFormat="1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0" xfId="0" applyFont="1"/>
    <xf numFmtId="171" fontId="4" fillId="0" borderId="0" xfId="7" applyNumberFormat="1" applyFont="1" applyFill="1" applyBorder="1"/>
    <xf numFmtId="169" fontId="0" fillId="0" borderId="0" xfId="7" applyFont="1" applyAlignment="1">
      <alignment horizontal="left"/>
    </xf>
    <xf numFmtId="170" fontId="0" fillId="0" borderId="0" xfId="4" applyNumberFormat="1" applyFont="1" applyBorder="1"/>
    <xf numFmtId="170" fontId="4" fillId="0" borderId="0" xfId="4" applyNumberFormat="1" applyFont="1" applyBorder="1"/>
    <xf numFmtId="170" fontId="4" fillId="4" borderId="2" xfId="0" applyNumberFormat="1" applyFont="1" applyFill="1" applyBorder="1"/>
    <xf numFmtId="0" fontId="4" fillId="0" borderId="3" xfId="0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70" fontId="0" fillId="0" borderId="0" xfId="7" applyNumberFormat="1" applyFont="1"/>
    <xf numFmtId="0" fontId="11" fillId="0" borderId="0" xfId="0" applyFont="1" applyFill="1"/>
    <xf numFmtId="0" fontId="4" fillId="0" borderId="2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4" fillId="0" borderId="0" xfId="7" applyNumberFormat="1" applyFont="1" applyFill="1" applyBorder="1" applyAlignment="1">
      <alignment horizontal="right"/>
    </xf>
    <xf numFmtId="169" fontId="0" fillId="0" borderId="0" xfId="7" applyFont="1" applyBorder="1" applyAlignment="1">
      <alignment horizontal="right"/>
    </xf>
    <xf numFmtId="169" fontId="0" fillId="0" borderId="0" xfId="7" applyFont="1" applyAlignment="1">
      <alignment horizontal="right"/>
    </xf>
    <xf numFmtId="0" fontId="0" fillId="0" borderId="0" xfId="0" applyAlignment="1">
      <alignment horizontal="right"/>
    </xf>
    <xf numFmtId="170" fontId="0" fillId="0" borderId="0" xfId="4" applyNumberFormat="1" applyFont="1" applyBorder="1" applyAlignment="1">
      <alignment horizontal="right"/>
    </xf>
    <xf numFmtId="169" fontId="4" fillId="0" borderId="0" xfId="7" applyFont="1" applyBorder="1" applyAlignment="1">
      <alignment horizontal="right"/>
    </xf>
    <xf numFmtId="169" fontId="7" fillId="0" borderId="0" xfId="7" applyFont="1" applyBorder="1" applyAlignment="1">
      <alignment horizontal="right"/>
    </xf>
    <xf numFmtId="169" fontId="4" fillId="0" borderId="0" xfId="7" applyFont="1" applyAlignment="1">
      <alignment horizontal="right"/>
    </xf>
    <xf numFmtId="169" fontId="8" fillId="0" borderId="0" xfId="7" applyFont="1" applyBorder="1" applyAlignment="1">
      <alignment horizontal="right"/>
    </xf>
    <xf numFmtId="169" fontId="0" fillId="0" borderId="0" xfId="7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7" fontId="4" fillId="0" borderId="2" xfId="7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4" fillId="0" borderId="0" xfId="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1" fontId="0" fillId="0" borderId="3" xfId="7" applyNumberFormat="1" applyFont="1" applyBorder="1"/>
    <xf numFmtId="171" fontId="0" fillId="0" borderId="2" xfId="7" applyNumberFormat="1" applyFont="1" applyBorder="1"/>
    <xf numFmtId="171" fontId="0" fillId="0" borderId="2" xfId="0" applyNumberFormat="1" applyBorder="1"/>
    <xf numFmtId="171" fontId="4" fillId="0" borderId="3" xfId="7" applyNumberFormat="1" applyFont="1" applyBorder="1"/>
    <xf numFmtId="171" fontId="4" fillId="5" borderId="2" xfId="0" applyNumberFormat="1" applyFont="1" applyFill="1" applyBorder="1"/>
    <xf numFmtId="171" fontId="4" fillId="0" borderId="2" xfId="0" applyNumberFormat="1" applyFont="1" applyFill="1" applyBorder="1"/>
    <xf numFmtId="171" fontId="4" fillId="2" borderId="2" xfId="0" applyNumberFormat="1" applyFont="1" applyFill="1" applyBorder="1"/>
    <xf numFmtId="171" fontId="4" fillId="6" borderId="2" xfId="0" applyNumberFormat="1" applyFont="1" applyFill="1" applyBorder="1"/>
    <xf numFmtId="0" fontId="11" fillId="0" borderId="0" xfId="0" applyFont="1" applyFill="1" applyBorder="1"/>
    <xf numFmtId="0" fontId="4" fillId="0" borderId="0" xfId="0" applyFont="1" applyBorder="1" applyAlignment="1"/>
    <xf numFmtId="0" fontId="15" fillId="0" borderId="0" xfId="0" applyFont="1" applyAlignment="1"/>
    <xf numFmtId="0" fontId="17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171" fontId="18" fillId="0" borderId="0" xfId="7" applyNumberFormat="1" applyFont="1" applyFill="1" applyBorder="1"/>
    <xf numFmtId="0" fontId="18" fillId="0" borderId="0" xfId="0" applyFont="1" applyFill="1" applyBorder="1"/>
    <xf numFmtId="167" fontId="18" fillId="0" borderId="0" xfId="7" applyNumberFormat="1" applyFont="1" applyFill="1" applyBorder="1"/>
    <xf numFmtId="0" fontId="14" fillId="0" borderId="0" xfId="0" applyFont="1" applyFill="1"/>
    <xf numFmtId="0" fontId="10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167" fontId="17" fillId="7" borderId="2" xfId="7" applyNumberFormat="1" applyFont="1" applyFill="1" applyBorder="1" applyAlignment="1">
      <alignment horizontal="center"/>
    </xf>
    <xf numFmtId="167" fontId="17" fillId="8" borderId="2" xfId="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167" fontId="0" fillId="0" borderId="0" xfId="7" applyNumberFormat="1" applyFont="1"/>
    <xf numFmtId="0" fontId="8" fillId="0" borderId="0" xfId="0" applyFont="1"/>
    <xf numFmtId="167" fontId="4" fillId="3" borderId="2" xfId="0" applyNumberFormat="1" applyFont="1" applyFill="1" applyBorder="1"/>
    <xf numFmtId="167" fontId="0" fillId="9" borderId="0" xfId="7" applyNumberFormat="1" applyFont="1" applyFill="1"/>
    <xf numFmtId="167" fontId="17" fillId="8" borderId="2" xfId="0" applyNumberFormat="1" applyFont="1" applyFill="1" applyBorder="1"/>
    <xf numFmtId="0" fontId="9" fillId="0" borderId="0" xfId="0" applyFont="1" applyFill="1"/>
    <xf numFmtId="0" fontId="11" fillId="0" borderId="0" xfId="0" applyFont="1" applyFill="1" applyBorder="1" applyAlignment="1">
      <alignment horizontal="left"/>
    </xf>
    <xf numFmtId="0" fontId="4" fillId="0" borderId="3" xfId="0" applyFont="1" applyFill="1" applyBorder="1"/>
    <xf numFmtId="0" fontId="19" fillId="0" borderId="0" xfId="0" applyFont="1" applyFill="1"/>
    <xf numFmtId="0" fontId="6" fillId="0" borderId="0" xfId="0" applyFont="1" applyFill="1"/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167" fontId="0" fillId="0" borderId="0" xfId="0" applyNumberFormat="1"/>
    <xf numFmtId="0" fontId="17" fillId="12" borderId="2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0" xfId="0" applyFont="1" applyFill="1" applyBorder="1" applyAlignment="1"/>
    <xf numFmtId="171" fontId="0" fillId="0" borderId="0" xfId="7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9" fontId="4" fillId="0" borderId="0" xfId="7" applyFont="1" applyFill="1" applyBorder="1" applyAlignment="1">
      <alignment horizontal="right"/>
    </xf>
    <xf numFmtId="169" fontId="7" fillId="0" borderId="0" xfId="7" applyFont="1" applyFill="1" applyBorder="1" applyAlignment="1">
      <alignment horizontal="right"/>
    </xf>
    <xf numFmtId="169" fontId="8" fillId="0" borderId="0" xfId="7" applyFont="1" applyFill="1" applyBorder="1" applyAlignment="1">
      <alignment horizontal="right"/>
    </xf>
    <xf numFmtId="0" fontId="6" fillId="0" borderId="0" xfId="0" applyFont="1" applyAlignment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Border="1"/>
    <xf numFmtId="14" fontId="22" fillId="0" borderId="0" xfId="0" applyNumberFormat="1" applyFont="1"/>
    <xf numFmtId="0" fontId="25" fillId="0" borderId="0" xfId="10" applyFont="1"/>
    <xf numFmtId="0" fontId="24" fillId="0" borderId="0" xfId="0" applyFont="1"/>
    <xf numFmtId="0" fontId="26" fillId="0" borderId="0" xfId="0" applyFont="1"/>
    <xf numFmtId="0" fontId="24" fillId="13" borderId="4" xfId="0" applyFont="1" applyFill="1" applyBorder="1"/>
    <xf numFmtId="0" fontId="24" fillId="0" borderId="5" xfId="10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0" fontId="42" fillId="0" borderId="5" xfId="0" applyFont="1" applyBorder="1"/>
    <xf numFmtId="0" fontId="29" fillId="13" borderId="1" xfId="6" applyFont="1" applyBorder="1"/>
    <xf numFmtId="174" fontId="0" fillId="0" borderId="0" xfId="0" applyNumberFormat="1" applyFont="1" applyBorder="1"/>
    <xf numFmtId="0" fontId="0" fillId="0" borderId="0" xfId="0" applyFont="1"/>
    <xf numFmtId="0" fontId="30" fillId="0" borderId="0" xfId="0" applyFont="1" applyBorder="1"/>
    <xf numFmtId="4" fontId="26" fillId="0" borderId="0" xfId="0" applyNumberFormat="1" applyFont="1"/>
    <xf numFmtId="0" fontId="26" fillId="0" borderId="0" xfId="0" applyFont="1" applyBorder="1"/>
    <xf numFmtId="0" fontId="31" fillId="0" borderId="0" xfId="0" applyFont="1" applyBorder="1" applyAlignment="1">
      <alignment horizontal="right"/>
    </xf>
    <xf numFmtId="0" fontId="31" fillId="0" borderId="0" xfId="0" applyFont="1"/>
    <xf numFmtId="0" fontId="32" fillId="0" borderId="0" xfId="0" applyFont="1" applyFill="1" applyBorder="1" applyAlignment="1">
      <alignment horizontal="right"/>
    </xf>
    <xf numFmtId="0" fontId="24" fillId="0" borderId="0" xfId="11" applyFont="1"/>
    <xf numFmtId="169" fontId="24" fillId="0" borderId="0" xfId="7" applyFont="1"/>
    <xf numFmtId="169" fontId="26" fillId="0" borderId="0" xfId="7" applyFont="1"/>
    <xf numFmtId="169" fontId="24" fillId="14" borderId="0" xfId="7" applyFont="1" applyFill="1"/>
    <xf numFmtId="175" fontId="34" fillId="0" borderId="0" xfId="0" applyNumberFormat="1" applyFont="1" applyFill="1" applyBorder="1"/>
    <xf numFmtId="0" fontId="43" fillId="13" borderId="4" xfId="0" applyFont="1" applyFill="1" applyBorder="1"/>
    <xf numFmtId="176" fontId="0" fillId="0" borderId="0" xfId="0" applyNumberFormat="1" applyFont="1" applyBorder="1"/>
    <xf numFmtId="177" fontId="0" fillId="0" borderId="0" xfId="0" applyNumberFormat="1" applyFont="1" applyBorder="1"/>
    <xf numFmtId="176" fontId="4" fillId="0" borderId="0" xfId="0" applyNumberFormat="1" applyFont="1" applyBorder="1"/>
    <xf numFmtId="0" fontId="4" fillId="0" borderId="0" xfId="0" applyFont="1" applyFill="1" applyBorder="1" applyAlignment="1"/>
    <xf numFmtId="178" fontId="4" fillId="0" borderId="0" xfId="0" applyNumberFormat="1" applyFont="1" applyFill="1" applyBorder="1" applyAlignment="1"/>
    <xf numFmtId="178" fontId="36" fillId="0" borderId="0" xfId="11" applyNumberFormat="1" applyFont="1"/>
    <xf numFmtId="178" fontId="36" fillId="0" borderId="0" xfId="7" applyNumberFormat="1" applyFont="1"/>
    <xf numFmtId="178" fontId="26" fillId="0" borderId="0" xfId="7" applyNumberFormat="1" applyFont="1"/>
    <xf numFmtId="178" fontId="36" fillId="14" borderId="0" xfId="7" applyNumberFormat="1" applyFont="1" applyFill="1"/>
    <xf numFmtId="178" fontId="26" fillId="0" borderId="0" xfId="0" applyNumberFormat="1" applyFont="1"/>
    <xf numFmtId="178" fontId="36" fillId="0" borderId="0" xfId="0" applyNumberFormat="1" applyFont="1"/>
    <xf numFmtId="0" fontId="42" fillId="0" borderId="5" xfId="0" applyFont="1" applyFill="1" applyBorder="1"/>
    <xf numFmtId="0" fontId="26" fillId="0" borderId="0" xfId="0" applyFont="1" applyFill="1"/>
    <xf numFmtId="0" fontId="0" fillId="0" borderId="0" xfId="0" applyFill="1" applyAlignment="1">
      <alignment horizontal="center"/>
    </xf>
    <xf numFmtId="0" fontId="35" fillId="0" borderId="0" xfId="0" applyFont="1"/>
    <xf numFmtId="0" fontId="44" fillId="13" borderId="4" xfId="0" applyFont="1" applyFill="1" applyBorder="1"/>
    <xf numFmtId="164" fontId="4" fillId="9" borderId="2" xfId="0" applyNumberFormat="1" applyFont="1" applyFill="1" applyBorder="1"/>
    <xf numFmtId="164" fontId="4" fillId="15" borderId="2" xfId="0" applyNumberFormat="1" applyFont="1" applyFill="1" applyBorder="1"/>
    <xf numFmtId="0" fontId="26" fillId="16" borderId="0" xfId="0" applyFont="1" applyFill="1"/>
    <xf numFmtId="0" fontId="37" fillId="0" borderId="0" xfId="0" applyFont="1"/>
    <xf numFmtId="169" fontId="31" fillId="0" borderId="0" xfId="7" applyFont="1"/>
    <xf numFmtId="0" fontId="4" fillId="0" borderId="0" xfId="0" applyFont="1" applyAlignment="1">
      <alignment horizontal="center"/>
    </xf>
    <xf numFmtId="164" fontId="11" fillId="0" borderId="0" xfId="7" applyNumberFormat="1" applyFont="1"/>
    <xf numFmtId="164" fontId="26" fillId="0" borderId="0" xfId="7" applyNumberFormat="1" applyFont="1"/>
    <xf numFmtId="165" fontId="4" fillId="0" borderId="0" xfId="0" applyNumberFormat="1" applyFont="1" applyFill="1" applyBorder="1" applyAlignment="1"/>
    <xf numFmtId="176" fontId="24" fillId="0" borderId="0" xfId="0" applyNumberFormat="1" applyFont="1"/>
    <xf numFmtId="172" fontId="11" fillId="0" borderId="0" xfId="14" applyNumberFormat="1" applyFont="1"/>
    <xf numFmtId="10" fontId="11" fillId="0" borderId="0" xfId="0" applyNumberFormat="1" applyFont="1"/>
    <xf numFmtId="9" fontId="0" fillId="0" borderId="0" xfId="14" applyFont="1"/>
    <xf numFmtId="168" fontId="0" fillId="0" borderId="0" xfId="17" applyFont="1"/>
    <xf numFmtId="164" fontId="0" fillId="0" borderId="0" xfId="7" applyNumberFormat="1" applyFont="1"/>
    <xf numFmtId="0" fontId="4" fillId="16" borderId="0" xfId="0" applyFont="1" applyFill="1"/>
    <xf numFmtId="0" fontId="45" fillId="0" borderId="6" xfId="0" applyFont="1" applyFill="1" applyBorder="1"/>
    <xf numFmtId="0" fontId="43" fillId="0" borderId="4" xfId="0" applyFont="1" applyFill="1" applyBorder="1"/>
    <xf numFmtId="0" fontId="24" fillId="0" borderId="4" xfId="0" applyFont="1" applyFill="1" applyBorder="1"/>
    <xf numFmtId="0" fontId="24" fillId="0" borderId="0" xfId="0" applyFont="1" applyFill="1"/>
    <xf numFmtId="170" fontId="11" fillId="0" borderId="0" xfId="4" applyNumberFormat="1" applyFont="1" applyBorder="1"/>
    <xf numFmtId="168" fontId="24" fillId="0" borderId="0" xfId="17" applyFont="1"/>
    <xf numFmtId="177" fontId="4" fillId="0" borderId="0" xfId="0" applyNumberFormat="1" applyFont="1" applyBorder="1"/>
    <xf numFmtId="170" fontId="0" fillId="0" borderId="0" xfId="0" applyNumberFormat="1" applyFill="1"/>
    <xf numFmtId="168" fontId="0" fillId="0" borderId="0" xfId="17" applyFont="1" applyAlignment="1">
      <alignment horizontal="right"/>
    </xf>
    <xf numFmtId="170" fontId="11" fillId="0" borderId="0" xfId="0" applyNumberFormat="1" applyFont="1"/>
    <xf numFmtId="0" fontId="10" fillId="0" borderId="0" xfId="0" applyFont="1" applyAlignment="1">
      <alignment horizontal="center"/>
    </xf>
    <xf numFmtId="170" fontId="47" fillId="0" borderId="0" xfId="4" applyNumberFormat="1" applyFont="1" applyFill="1" applyBorder="1"/>
    <xf numFmtId="170" fontId="48" fillId="0" borderId="2" xfId="4" applyNumberFormat="1" applyFont="1" applyFill="1" applyBorder="1"/>
    <xf numFmtId="170" fontId="49" fillId="0" borderId="0" xfId="0" applyNumberFormat="1" applyFont="1" applyFill="1" applyBorder="1"/>
    <xf numFmtId="0" fontId="47" fillId="0" borderId="0" xfId="0" applyFont="1" applyAlignment="1">
      <alignment horizontal="center"/>
    </xf>
    <xf numFmtId="0" fontId="50" fillId="0" borderId="0" xfId="0" applyFont="1"/>
    <xf numFmtId="0" fontId="50" fillId="0" borderId="0" xfId="0" applyFont="1" applyBorder="1"/>
    <xf numFmtId="170" fontId="50" fillId="0" borderId="0" xfId="4" applyNumberFormat="1" applyFont="1" applyFill="1" applyBorder="1"/>
    <xf numFmtId="164" fontId="51" fillId="9" borderId="2" xfId="0" applyNumberFormat="1" applyFont="1" applyFill="1" applyBorder="1"/>
    <xf numFmtId="170" fontId="51" fillId="0" borderId="0" xfId="4" applyNumberFormat="1" applyFont="1" applyBorder="1"/>
    <xf numFmtId="170" fontId="51" fillId="0" borderId="2" xfId="4" applyNumberFormat="1" applyFont="1" applyFill="1" applyBorder="1"/>
    <xf numFmtId="170" fontId="51" fillId="0" borderId="2" xfId="0" applyNumberFormat="1" applyFont="1" applyBorder="1"/>
    <xf numFmtId="0" fontId="10" fillId="0" borderId="0" xfId="0" applyFont="1"/>
    <xf numFmtId="9" fontId="10" fillId="0" borderId="0" xfId="14" applyFont="1"/>
    <xf numFmtId="0" fontId="12" fillId="0" borderId="3" xfId="0" applyFont="1" applyFill="1" applyBorder="1"/>
    <xf numFmtId="9" fontId="0" fillId="0" borderId="0" xfId="14" applyFont="1" applyFill="1"/>
    <xf numFmtId="170" fontId="4" fillId="0" borderId="2" xfId="0" applyNumberFormat="1" applyFont="1" applyFill="1" applyBorder="1"/>
    <xf numFmtId="168" fontId="0" fillId="0" borderId="0" xfId="17" applyFont="1" applyBorder="1"/>
    <xf numFmtId="170" fontId="41" fillId="0" borderId="0" xfId="7" applyNumberFormat="1" applyFont="1"/>
    <xf numFmtId="167" fontId="0" fillId="0" borderId="0" xfId="7" applyNumberFormat="1" applyFont="1" applyFill="1"/>
    <xf numFmtId="0" fontId="9" fillId="0" borderId="0" xfId="0" applyFont="1" applyFill="1" applyBorder="1"/>
    <xf numFmtId="167" fontId="0" fillId="0" borderId="0" xfId="7" applyNumberFormat="1" applyFont="1" applyFill="1" applyBorder="1"/>
    <xf numFmtId="167" fontId="4" fillId="0" borderId="0" xfId="0" applyNumberFormat="1" applyFont="1" applyFill="1" applyBorder="1"/>
    <xf numFmtId="167" fontId="17" fillId="0" borderId="0" xfId="0" applyNumberFormat="1" applyFont="1" applyFill="1" applyBorder="1"/>
    <xf numFmtId="171" fontId="52" fillId="0" borderId="0" xfId="12" applyNumberFormat="1" applyFont="1" applyFill="1" applyBorder="1"/>
    <xf numFmtId="170" fontId="41" fillId="0" borderId="0" xfId="4" applyNumberFormat="1" applyFont="1"/>
    <xf numFmtId="168" fontId="53" fillId="0" borderId="0" xfId="17" applyFont="1"/>
    <xf numFmtId="170" fontId="53" fillId="0" borderId="0" xfId="7" applyNumberFormat="1" applyFont="1"/>
    <xf numFmtId="171" fontId="50" fillId="0" borderId="0" xfId="7" applyNumberFormat="1" applyFont="1"/>
    <xf numFmtId="167" fontId="0" fillId="0" borderId="0" xfId="0" applyNumberFormat="1" applyBorder="1" applyAlignment="1">
      <alignment horizontal="right"/>
    </xf>
    <xf numFmtId="1" fontId="0" fillId="0" borderId="0" xfId="7" applyNumberFormat="1" applyFont="1" applyBorder="1" applyAlignment="1">
      <alignment horizontal="right"/>
    </xf>
    <xf numFmtId="167" fontId="0" fillId="0" borderId="0" xfId="7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55" fillId="0" borderId="0" xfId="0" applyFont="1"/>
    <xf numFmtId="0" fontId="56" fillId="0" borderId="0" xfId="0" applyFont="1"/>
    <xf numFmtId="172" fontId="0" fillId="18" borderId="0" xfId="0" applyNumberFormat="1" applyFill="1"/>
    <xf numFmtId="0" fontId="48" fillId="0" borderId="0" xfId="0" applyFont="1" applyFill="1" applyBorder="1"/>
    <xf numFmtId="171" fontId="3" fillId="9" borderId="0" xfId="7" applyNumberFormat="1" applyFont="1" applyFill="1"/>
    <xf numFmtId="171" fontId="53" fillId="9" borderId="0" xfId="1" applyNumberFormat="1" applyFont="1" applyFill="1"/>
    <xf numFmtId="9" fontId="0" fillId="0" borderId="0" xfId="12" applyFont="1" applyFill="1"/>
    <xf numFmtId="171" fontId="11" fillId="0" borderId="0" xfId="1" applyNumberFormat="1" applyFont="1" applyFill="1"/>
    <xf numFmtId="171" fontId="0" fillId="0" borderId="0" xfId="1" applyNumberFormat="1" applyFont="1" applyFill="1"/>
    <xf numFmtId="167" fontId="0" fillId="0" borderId="0" xfId="0" applyNumberFormat="1" applyFill="1" applyAlignment="1">
      <alignment horizontal="right"/>
    </xf>
    <xf numFmtId="168" fontId="38" fillId="0" borderId="0" xfId="17" applyFont="1" applyFill="1"/>
    <xf numFmtId="168" fontId="0" fillId="0" borderId="0" xfId="17" applyFont="1" applyFill="1"/>
    <xf numFmtId="170" fontId="0" fillId="0" borderId="0" xfId="4" applyNumberFormat="1" applyFont="1" applyFill="1"/>
    <xf numFmtId="170" fontId="0" fillId="0" borderId="0" xfId="7" applyNumberFormat="1" applyFont="1" applyFill="1"/>
    <xf numFmtId="170" fontId="11" fillId="0" borderId="0" xfId="7" applyNumberFormat="1" applyFont="1" applyFill="1"/>
    <xf numFmtId="170" fontId="38" fillId="0" borderId="0" xfId="7" applyNumberFormat="1" applyFont="1" applyFill="1"/>
    <xf numFmtId="170" fontId="38" fillId="0" borderId="0" xfId="4" applyNumberFormat="1" applyFont="1" applyFill="1"/>
    <xf numFmtId="170" fontId="11" fillId="0" borderId="0" xfId="4" applyNumberFormat="1" applyFont="1" applyFill="1"/>
    <xf numFmtId="9" fontId="10" fillId="0" borderId="0" xfId="14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/>
    <xf numFmtId="1" fontId="4" fillId="0" borderId="0" xfId="0" applyNumberFormat="1" applyFont="1" applyBorder="1"/>
    <xf numFmtId="0" fontId="57" fillId="0" borderId="0" xfId="0" applyFont="1"/>
    <xf numFmtId="0" fontId="0" fillId="0" borderId="0" xfId="0" applyAlignment="1">
      <alignment horizontal="center"/>
    </xf>
    <xf numFmtId="0" fontId="53" fillId="0" borderId="0" xfId="0" applyFont="1"/>
    <xf numFmtId="167" fontId="53" fillId="0" borderId="0" xfId="0" applyNumberFormat="1" applyFont="1" applyAlignment="1">
      <alignment horizontal="right"/>
    </xf>
    <xf numFmtId="167" fontId="53" fillId="0" borderId="0" xfId="7" applyNumberFormat="1" applyFont="1" applyAlignment="1">
      <alignment horizontal="right"/>
    </xf>
    <xf numFmtId="179" fontId="0" fillId="0" borderId="0" xfId="17" applyNumberFormat="1" applyFont="1"/>
    <xf numFmtId="170" fontId="58" fillId="0" borderId="0" xfId="7" applyNumberFormat="1" applyFont="1"/>
    <xf numFmtId="179" fontId="10" fillId="0" borderId="0" xfId="4" applyNumberFormat="1" applyFont="1" applyBorder="1"/>
    <xf numFmtId="167" fontId="0" fillId="0" borderId="0" xfId="0" applyNumberFormat="1" applyFill="1" applyBorder="1" applyAlignment="1">
      <alignment horizontal="center" vertical="center"/>
    </xf>
    <xf numFmtId="0" fontId="59" fillId="0" borderId="0" xfId="9" applyFont="1"/>
    <xf numFmtId="0" fontId="40" fillId="0" borderId="0" xfId="9"/>
    <xf numFmtId="10" fontId="60" fillId="19" borderId="13" xfId="18" applyNumberFormat="1" applyBorder="1"/>
    <xf numFmtId="0" fontId="61" fillId="0" borderId="6" xfId="0" applyFont="1" applyBorder="1"/>
    <xf numFmtId="43" fontId="61" fillId="0" borderId="6" xfId="0" applyNumberFormat="1" applyFont="1" applyBorder="1"/>
    <xf numFmtId="8" fontId="61" fillId="0" borderId="4" xfId="0" applyNumberFormat="1" applyFont="1" applyBorder="1"/>
    <xf numFmtId="8" fontId="61" fillId="0" borderId="13" xfId="0" applyNumberFormat="1" applyFont="1" applyBorder="1"/>
    <xf numFmtId="43" fontId="60" fillId="19" borderId="10" xfId="18" applyNumberFormat="1" applyBorder="1"/>
    <xf numFmtId="0" fontId="61" fillId="0" borderId="5" xfId="0" applyFont="1" applyBorder="1"/>
    <xf numFmtId="43" fontId="61" fillId="0" borderId="5" xfId="0" applyNumberFormat="1" applyFont="1" applyBorder="1"/>
    <xf numFmtId="8" fontId="61" fillId="0" borderId="0" xfId="0" applyNumberFormat="1" applyFont="1" applyBorder="1"/>
    <xf numFmtId="8" fontId="61" fillId="0" borderId="10" xfId="0" applyNumberFormat="1" applyFont="1" applyBorder="1"/>
    <xf numFmtId="0" fontId="60" fillId="19" borderId="11" xfId="18" applyBorder="1"/>
    <xf numFmtId="8" fontId="0" fillId="0" borderId="8" xfId="0" applyNumberFormat="1" applyBorder="1"/>
    <xf numFmtId="0" fontId="40" fillId="0" borderId="0" xfId="9" applyFill="1"/>
    <xf numFmtId="43" fontId="61" fillId="0" borderId="12" xfId="0" applyNumberFormat="1" applyFont="1" applyBorder="1"/>
    <xf numFmtId="8" fontId="61" fillId="0" borderId="3" xfId="0" applyNumberFormat="1" applyFont="1" applyBorder="1"/>
    <xf numFmtId="8" fontId="61" fillId="0" borderId="11" xfId="0" applyNumberFormat="1" applyFont="1" applyBorder="1"/>
    <xf numFmtId="0" fontId="40" fillId="0" borderId="12" xfId="9" applyBorder="1" applyAlignment="1">
      <alignment horizontal="right"/>
    </xf>
    <xf numFmtId="8" fontId="40" fillId="0" borderId="3" xfId="9" applyNumberFormat="1" applyBorder="1"/>
    <xf numFmtId="8" fontId="40" fillId="0" borderId="11" xfId="9" applyNumberFormat="1" applyBorder="1"/>
    <xf numFmtId="0" fontId="2" fillId="0" borderId="1" xfId="9" applyFont="1" applyBorder="1"/>
    <xf numFmtId="0" fontId="2" fillId="0" borderId="4" xfId="9" applyFont="1" applyBorder="1"/>
    <xf numFmtId="0" fontId="2" fillId="0" borderId="13" xfId="9" applyFont="1" applyBorder="1"/>
    <xf numFmtId="0" fontId="2" fillId="0" borderId="6" xfId="9" applyFont="1" applyBorder="1"/>
    <xf numFmtId="0" fontId="2" fillId="0" borderId="5" xfId="9" applyFont="1" applyBorder="1"/>
    <xf numFmtId="0" fontId="2" fillId="0" borderId="12" xfId="9" applyFont="1" applyBorder="1"/>
    <xf numFmtId="8" fontId="40" fillId="0" borderId="8" xfId="9" applyNumberFormat="1" applyBorder="1"/>
    <xf numFmtId="43" fontId="61" fillId="0" borderId="0" xfId="0" applyNumberFormat="1" applyFont="1" applyBorder="1"/>
    <xf numFmtId="43" fontId="61" fillId="0" borderId="4" xfId="0" applyNumberFormat="1" applyFont="1" applyBorder="1"/>
    <xf numFmtId="43" fontId="61" fillId="0" borderId="3" xfId="0" applyNumberFormat="1" applyFont="1" applyBorder="1"/>
    <xf numFmtId="8" fontId="24" fillId="0" borderId="0" xfId="0" applyNumberFormat="1" applyFont="1"/>
    <xf numFmtId="164" fontId="0" fillId="0" borderId="0" xfId="7" applyNumberFormat="1" applyFont="1" applyFill="1"/>
    <xf numFmtId="164" fontId="11" fillId="0" borderId="0" xfId="7" applyNumberFormat="1" applyFont="1" applyFill="1"/>
    <xf numFmtId="164" fontId="4" fillId="0" borderId="0" xfId="7" applyNumberFormat="1" applyFont="1" applyFill="1"/>
    <xf numFmtId="164" fontId="53" fillId="0" borderId="0" xfId="7" applyNumberFormat="1" applyFont="1" applyFill="1"/>
    <xf numFmtId="10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182" fontId="3" fillId="10" borderId="0" xfId="7" applyNumberFormat="1" applyFont="1" applyFill="1"/>
    <xf numFmtId="167" fontId="53" fillId="0" borderId="0" xfId="7" applyNumberFormat="1" applyFont="1" applyFill="1"/>
    <xf numFmtId="183" fontId="53" fillId="10" borderId="0" xfId="7" applyNumberFormat="1" applyFont="1" applyFill="1"/>
    <xf numFmtId="183" fontId="53" fillId="20" borderId="0" xfId="7" applyNumberFormat="1" applyFont="1" applyFill="1"/>
    <xf numFmtId="181" fontId="0" fillId="18" borderId="0" xfId="0" applyNumberFormat="1" applyFill="1"/>
    <xf numFmtId="9" fontId="53" fillId="9" borderId="0" xfId="14" applyFont="1" applyFill="1"/>
    <xf numFmtId="171" fontId="54" fillId="0" borderId="0" xfId="14" applyNumberFormat="1" applyFont="1" applyFill="1" applyBorder="1"/>
    <xf numFmtId="181" fontId="0" fillId="0" borderId="0" xfId="7" applyNumberFormat="1" applyFont="1" applyBorder="1" applyAlignment="1">
      <alignment horizontal="right"/>
    </xf>
    <xf numFmtId="184" fontId="4" fillId="17" borderId="2" xfId="7" applyNumberFormat="1" applyFont="1" applyFill="1" applyBorder="1"/>
    <xf numFmtId="181" fontId="10" fillId="21" borderId="2" xfId="7" applyNumberFormat="1" applyFont="1" applyFill="1" applyBorder="1"/>
    <xf numFmtId="171" fontId="48" fillId="0" borderId="0" xfId="7" applyNumberFormat="1" applyFont="1" applyFill="1" applyAlignment="1"/>
    <xf numFmtId="171" fontId="53" fillId="0" borderId="0" xfId="1" applyNumberFormat="1" applyFont="1" applyFill="1"/>
    <xf numFmtId="171" fontId="0" fillId="0" borderId="0" xfId="0" applyNumberFormat="1" applyFill="1"/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wrapText="1"/>
    </xf>
    <xf numFmtId="182" fontId="3" fillId="22" borderId="0" xfId="7" applyNumberFormat="1" applyFont="1" applyFill="1"/>
    <xf numFmtId="0" fontId="10" fillId="0" borderId="0" xfId="0" applyFont="1" applyFill="1"/>
    <xf numFmtId="0" fontId="4" fillId="0" borderId="3" xfId="0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 applyFill="1" applyBorder="1"/>
    <xf numFmtId="171" fontId="41" fillId="9" borderId="0" xfId="1" applyNumberFormat="1" applyFont="1" applyFill="1"/>
    <xf numFmtId="0" fontId="46" fillId="0" borderId="0" xfId="0" applyFont="1"/>
    <xf numFmtId="0" fontId="0" fillId="0" borderId="0" xfId="0" applyFont="1" applyFill="1" applyAlignment="1">
      <alignment horizontal="center"/>
    </xf>
    <xf numFmtId="171" fontId="54" fillId="9" borderId="0" xfId="7" applyNumberFormat="1" applyFont="1" applyFill="1" applyAlignment="1">
      <alignment vertical="center"/>
    </xf>
    <xf numFmtId="171" fontId="41" fillId="9" borderId="0" xfId="7" applyNumberFormat="1" applyFont="1" applyFill="1"/>
    <xf numFmtId="171" fontId="47" fillId="0" borderId="0" xfId="7" applyNumberFormat="1" applyFont="1" applyFill="1" applyAlignment="1">
      <alignment vertical="center"/>
    </xf>
    <xf numFmtId="171" fontId="48" fillId="0" borderId="0" xfId="7" applyNumberFormat="1" applyFont="1" applyFill="1"/>
    <xf numFmtId="0" fontId="55" fillId="0" borderId="0" xfId="0" applyFont="1" applyFill="1"/>
    <xf numFmtId="171" fontId="53" fillId="22" borderId="0" xfId="1" applyNumberFormat="1" applyFont="1" applyFill="1"/>
    <xf numFmtId="171" fontId="48" fillId="22" borderId="0" xfId="7" applyNumberFormat="1" applyFont="1" applyFill="1" applyAlignment="1"/>
    <xf numFmtId="0" fontId="0" fillId="22" borderId="0" xfId="0" applyFont="1" applyFill="1" applyBorder="1"/>
    <xf numFmtId="0" fontId="0" fillId="22" borderId="0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171" fontId="17" fillId="0" borderId="0" xfId="7" applyNumberFormat="1" applyFont="1" applyFill="1" applyBorder="1"/>
    <xf numFmtId="171" fontId="62" fillId="0" borderId="0" xfId="1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171" fontId="18" fillId="0" borderId="0" xfId="1" applyNumberFormat="1" applyFont="1" applyFill="1" applyBorder="1"/>
    <xf numFmtId="171" fontId="3" fillId="9" borderId="0" xfId="1" applyNumberFormat="1" applyFont="1" applyFill="1"/>
    <xf numFmtId="9" fontId="53" fillId="9" borderId="0" xfId="12" applyFont="1" applyFill="1"/>
    <xf numFmtId="171" fontId="48" fillId="9" borderId="0" xfId="1" applyNumberFormat="1" applyFont="1" applyFill="1"/>
    <xf numFmtId="179" fontId="53" fillId="0" borderId="0" xfId="1" applyNumberFormat="1" applyFont="1" applyFill="1" applyAlignment="1">
      <alignment vertical="center"/>
    </xf>
    <xf numFmtId="171" fontId="3" fillId="0" borderId="0" xfId="1" applyNumberFormat="1" applyFont="1" applyFill="1"/>
    <xf numFmtId="9" fontId="53" fillId="0" borderId="0" xfId="12" applyFont="1" applyFill="1"/>
    <xf numFmtId="0" fontId="56" fillId="0" borderId="0" xfId="0" applyFont="1" applyFill="1"/>
    <xf numFmtId="171" fontId="53" fillId="23" borderId="0" xfId="1" applyNumberFormat="1" applyFont="1" applyFill="1"/>
    <xf numFmtId="171" fontId="4" fillId="0" borderId="0" xfId="0" applyNumberFormat="1" applyFont="1" applyAlignment="1">
      <alignment horizontal="center"/>
    </xf>
    <xf numFmtId="9" fontId="53" fillId="0" borderId="0" xfId="14" applyFont="1" applyFill="1"/>
    <xf numFmtId="9" fontId="0" fillId="0" borderId="0" xfId="14" applyFont="1" applyFill="1" applyAlignment="1">
      <alignment horizontal="left"/>
    </xf>
    <xf numFmtId="0" fontId="63" fillId="0" borderId="0" xfId="0" applyFont="1" applyFill="1"/>
    <xf numFmtId="0" fontId="10" fillId="0" borderId="0" xfId="0" applyFont="1" applyFill="1" applyBorder="1"/>
    <xf numFmtId="171" fontId="64" fillId="0" borderId="0" xfId="7" applyNumberFormat="1" applyFont="1" applyFill="1" applyBorder="1"/>
    <xf numFmtId="171" fontId="54" fillId="0" borderId="0" xfId="1" applyNumberFormat="1" applyFont="1" applyFill="1"/>
    <xf numFmtId="0" fontId="65" fillId="0" borderId="0" xfId="0" applyFont="1" applyFill="1"/>
    <xf numFmtId="9" fontId="54" fillId="0" borderId="0" xfId="14" applyFont="1" applyFill="1" applyAlignment="1">
      <alignment horizontal="left"/>
    </xf>
    <xf numFmtId="183" fontId="53" fillId="0" borderId="0" xfId="7" applyNumberFormat="1" applyFont="1" applyFill="1"/>
    <xf numFmtId="185" fontId="4" fillId="17" borderId="2" xfId="7" applyNumberFormat="1" applyFont="1" applyFill="1" applyBorder="1"/>
    <xf numFmtId="183" fontId="54" fillId="24" borderId="7" xfId="7" applyNumberFormat="1" applyFont="1" applyFill="1" applyBorder="1"/>
    <xf numFmtId="0" fontId="14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3"/>
    </xf>
    <xf numFmtId="182" fontId="3" fillId="0" borderId="0" xfId="7" applyNumberFormat="1" applyFont="1" applyFill="1"/>
    <xf numFmtId="0" fontId="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9" fontId="53" fillId="10" borderId="0" xfId="14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Border="1" applyAlignment="1"/>
    <xf numFmtId="0" fontId="0" fillId="0" borderId="0" xfId="0" applyFill="1" applyAlignment="1"/>
    <xf numFmtId="185" fontId="4" fillId="0" borderId="2" xfId="7" applyNumberFormat="1" applyFont="1" applyFill="1" applyBorder="1"/>
    <xf numFmtId="185" fontId="4" fillId="0" borderId="0" xfId="7" applyNumberFormat="1" applyFont="1" applyFill="1" applyBorder="1"/>
    <xf numFmtId="9" fontId="10" fillId="0" borderId="0" xfId="14" applyFont="1" applyFill="1"/>
    <xf numFmtId="171" fontId="47" fillId="0" borderId="0" xfId="7" applyNumberFormat="1" applyFont="1" applyFill="1" applyAlignment="1">
      <alignment horizontal="center" vertical="center"/>
    </xf>
    <xf numFmtId="171" fontId="54" fillId="0" borderId="0" xfId="7" applyNumberFormat="1" applyFont="1" applyFill="1" applyAlignment="1">
      <alignment vertical="center"/>
    </xf>
    <xf numFmtId="171" fontId="3" fillId="0" borderId="0" xfId="7" applyNumberFormat="1" applyFont="1" applyFill="1"/>
    <xf numFmtId="171" fontId="47" fillId="0" borderId="0" xfId="1" applyNumberFormat="1" applyFont="1" applyFill="1" applyAlignment="1">
      <alignment horizontal="center" vertical="center"/>
    </xf>
    <xf numFmtId="171" fontId="48" fillId="0" borderId="0" xfId="1" applyNumberFormat="1" applyFont="1" applyFill="1"/>
    <xf numFmtId="172" fontId="0" fillId="0" borderId="0" xfId="0" applyNumberFormat="1" applyFill="1"/>
    <xf numFmtId="181" fontId="0" fillId="0" borderId="0" xfId="0" applyNumberFormat="1" applyFill="1"/>
    <xf numFmtId="167" fontId="0" fillId="0" borderId="0" xfId="0" applyNumberFormat="1" applyAlignment="1">
      <alignment horizontal="left"/>
    </xf>
    <xf numFmtId="167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40" fillId="0" borderId="1" xfId="9" applyNumberFormat="1" applyBorder="1"/>
    <xf numFmtId="8" fontId="40" fillId="0" borderId="7" xfId="9" applyNumberFormat="1" applyBorder="1"/>
    <xf numFmtId="0" fontId="2" fillId="0" borderId="7" xfId="9" applyFont="1" applyBorder="1"/>
    <xf numFmtId="0" fontId="2" fillId="0" borderId="8" xfId="9" applyFont="1" applyBorder="1"/>
    <xf numFmtId="0" fontId="53" fillId="0" borderId="0" xfId="0" applyFont="1" applyAlignment="1">
      <alignment horizontal="center"/>
    </xf>
    <xf numFmtId="44" fontId="11" fillId="0" borderId="0" xfId="17" applyNumberFormat="1" applyFont="1" applyFill="1"/>
    <xf numFmtId="0" fontId="53" fillId="0" borderId="0" xfId="0" applyFont="1" applyFill="1" applyAlignment="1">
      <alignment horizontal="center"/>
    </xf>
    <xf numFmtId="0" fontId="1" fillId="0" borderId="1" xfId="9" applyFont="1" applyBorder="1"/>
    <xf numFmtId="0" fontId="50" fillId="0" borderId="0" xfId="0" applyFont="1" applyFill="1" applyBorder="1"/>
    <xf numFmtId="170" fontId="50" fillId="0" borderId="0" xfId="4" applyNumberFormat="1" applyFont="1" applyFill="1" applyBorder="1" applyAlignment="1">
      <alignment horizontal="center" vertical="center"/>
    </xf>
    <xf numFmtId="170" fontId="51" fillId="0" borderId="0" xfId="4" applyNumberFormat="1" applyFont="1" applyFill="1" applyBorder="1"/>
    <xf numFmtId="0" fontId="4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4" fontId="51" fillId="0" borderId="0" xfId="0" applyNumberFormat="1" applyFont="1" applyFill="1" applyBorder="1"/>
    <xf numFmtId="164" fontId="4" fillId="0" borderId="0" xfId="0" applyNumberFormat="1" applyFont="1" applyFill="1" applyBorder="1"/>
    <xf numFmtId="170" fontId="51" fillId="0" borderId="0" xfId="0" applyNumberFormat="1" applyFont="1" applyFill="1" applyBorder="1"/>
    <xf numFmtId="181" fontId="0" fillId="0" borderId="0" xfId="7" applyNumberFormat="1" applyFont="1" applyFill="1" applyBorder="1" applyAlignment="1">
      <alignment horizontal="right"/>
    </xf>
    <xf numFmtId="1" fontId="0" fillId="0" borderId="0" xfId="7" applyNumberFormat="1" applyFont="1" applyFill="1" applyBorder="1" applyAlignment="1">
      <alignment horizontal="right"/>
    </xf>
    <xf numFmtId="1" fontId="4" fillId="0" borderId="2" xfId="17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8" fontId="4" fillId="17" borderId="2" xfId="17" applyFont="1" applyFill="1" applyBorder="1"/>
    <xf numFmtId="168" fontId="4" fillId="0" borderId="0" xfId="17" applyFont="1" applyBorder="1"/>
    <xf numFmtId="170" fontId="38" fillId="0" borderId="0" xfId="7" applyNumberFormat="1" applyFont="1" applyFill="1" applyAlignment="1">
      <alignment horizontal="center" vertical="center"/>
    </xf>
    <xf numFmtId="166" fontId="0" fillId="0" borderId="0" xfId="0" applyNumberFormat="1"/>
    <xf numFmtId="166" fontId="0" fillId="0" borderId="0" xfId="7" applyNumberFormat="1" applyFont="1" applyFill="1"/>
    <xf numFmtId="166" fontId="11" fillId="0" borderId="0" xfId="0" applyNumberFormat="1" applyFont="1" applyFill="1"/>
    <xf numFmtId="0" fontId="29" fillId="13" borderId="0" xfId="6" applyFont="1" applyBorder="1"/>
    <xf numFmtId="170" fontId="4" fillId="9" borderId="2" xfId="0" applyNumberFormat="1" applyFont="1" applyFill="1" applyBorder="1"/>
    <xf numFmtId="170" fontId="3" fillId="14" borderId="0" xfId="4" applyNumberFormat="1" applyFill="1" applyBorder="1"/>
    <xf numFmtId="166" fontId="24" fillId="0" borderId="0" xfId="0" applyNumberFormat="1" applyFont="1"/>
    <xf numFmtId="166" fontId="4" fillId="0" borderId="0" xfId="7" applyNumberFormat="1" applyFont="1" applyFill="1"/>
    <xf numFmtId="179" fontId="53" fillId="9" borderId="0" xfId="1" applyNumberFormat="1" applyFont="1" applyFill="1" applyAlignment="1">
      <alignment horizontal="center" vertical="center"/>
    </xf>
    <xf numFmtId="0" fontId="61" fillId="0" borderId="0" xfId="0" applyFont="1" applyBorder="1"/>
    <xf numFmtId="166" fontId="0" fillId="0" borderId="0" xfId="0" applyNumberFormat="1" applyBorder="1"/>
    <xf numFmtId="168" fontId="0" fillId="0" borderId="0" xfId="17" applyFont="1" applyFill="1" applyBorder="1" applyAlignment="1">
      <alignment horizontal="left" indent="1"/>
    </xf>
    <xf numFmtId="168" fontId="26" fillId="0" borderId="0" xfId="17" applyFont="1"/>
    <xf numFmtId="166" fontId="4" fillId="0" borderId="0" xfId="0" applyNumberFormat="1" applyFont="1"/>
    <xf numFmtId="0" fontId="17" fillId="1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73" fontId="23" fillId="0" borderId="0" xfId="0" applyNumberFormat="1" applyFont="1" applyAlignment="1">
      <alignment horizontal="left"/>
    </xf>
    <xf numFmtId="179" fontId="53" fillId="9" borderId="0" xfId="1" applyNumberFormat="1" applyFont="1" applyFill="1" applyAlignment="1">
      <alignment horizontal="center" vertical="center"/>
    </xf>
    <xf numFmtId="171" fontId="47" fillId="9" borderId="0" xfId="1" applyNumberFormat="1" applyFont="1" applyFill="1" applyAlignment="1">
      <alignment horizontal="center" vertical="center"/>
    </xf>
    <xf numFmtId="171" fontId="47" fillId="9" borderId="0" xfId="7" applyNumberFormat="1" applyFont="1" applyFill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42" fontId="0" fillId="0" borderId="9" xfId="17" applyNumberFormat="1" applyFont="1" applyBorder="1" applyAlignment="1">
      <alignment horizontal="center" vertical="center"/>
    </xf>
    <xf numFmtId="42" fontId="0" fillId="0" borderId="0" xfId="17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3" fillId="0" borderId="0" xfId="4" applyNumberFormat="1"/>
  </cellXfs>
  <cellStyles count="19">
    <cellStyle name="Comma" xfId="7" builtinId="3"/>
    <cellStyle name="Comma 2" xfId="1" xr:uid="{00000000-0005-0000-0000-000000000000}"/>
    <cellStyle name="Currency" xfId="17" builtinId="4"/>
    <cellStyle name="Currency 2" xfId="2" xr:uid="{00000000-0005-0000-0000-000001000000}"/>
    <cellStyle name="Currency 3" xfId="3" xr:uid="{00000000-0005-0000-0000-000002000000}"/>
    <cellStyle name="Euro" xfId="4" xr:uid="{00000000-0005-0000-0000-000003000000}"/>
    <cellStyle name="Euro 2" xfId="5" xr:uid="{00000000-0005-0000-0000-000004000000}"/>
    <cellStyle name="Good 2" xfId="18" xr:uid="{00000000-0005-0000-0000-000005000000}"/>
    <cellStyle name="Header 1" xfId="6" xr:uid="{00000000-0005-0000-0000-000006000000}"/>
    <cellStyle name="Komma 2" xfId="8" xr:uid="{00000000-0005-0000-0000-000008000000}"/>
    <cellStyle name="Normal" xfId="0" builtinId="0"/>
    <cellStyle name="Normal 2" xfId="9" xr:uid="{00000000-0005-0000-0000-000009000000}"/>
    <cellStyle name="Normal 3 3" xfId="10" xr:uid="{00000000-0005-0000-0000-00000A000000}"/>
    <cellStyle name="Normal_BUDGET Proforma" xfId="11" xr:uid="{00000000-0005-0000-0000-00000B000000}"/>
    <cellStyle name="Percent" xfId="14" builtinId="5"/>
    <cellStyle name="Percent 2" xfId="12" xr:uid="{00000000-0005-0000-0000-00000C000000}"/>
    <cellStyle name="Percent 3" xfId="13" xr:uid="{00000000-0005-0000-0000-00000D000000}"/>
    <cellStyle name="Procent 2" xfId="15" xr:uid="{00000000-0005-0000-0000-00000F000000}"/>
    <cellStyle name="Standaard 2" xfId="16" xr:uid="{00000000-0005-0000-0000-00001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CCFFCC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508000</xdr:colOff>
      <xdr:row>3</xdr:row>
      <xdr:rowOff>329687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204788</xdr:colOff>
      <xdr:row>8</xdr:row>
      <xdr:rowOff>19050</xdr:rowOff>
    </xdr:from>
    <xdr:to>
      <xdr:col>7</xdr:col>
      <xdr:colOff>298441</xdr:colOff>
      <xdr:row>25</xdr:row>
      <xdr:rowOff>146050</xdr:rowOff>
    </xdr:to>
    <xdr:sp macro="" textlink="">
      <xdr:nvSpPr>
        <xdr:cNvPr id="53387" name="Rectangle 1">
          <a:extLst>
            <a:ext uri="{FF2B5EF4-FFF2-40B4-BE49-F238E27FC236}">
              <a16:creationId xmlns:a16="http://schemas.microsoft.com/office/drawing/2014/main" id="{00000000-0008-0000-0C00-00008BD00000}"/>
            </a:ext>
          </a:extLst>
        </xdr:cNvPr>
        <xdr:cNvSpPr>
          <a:spLocks noChangeArrowheads="1"/>
        </xdr:cNvSpPr>
      </xdr:nvSpPr>
      <xdr:spPr bwMode="auto">
        <a:xfrm>
          <a:off x="889000" y="1409700"/>
          <a:ext cx="4127500" cy="29337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171450</xdr:colOff>
      <xdr:row>30</xdr:row>
      <xdr:rowOff>146050</xdr:rowOff>
    </xdr:from>
    <xdr:to>
      <xdr:col>17</xdr:col>
      <xdr:colOff>84180</xdr:colOff>
      <xdr:row>60</xdr:row>
      <xdr:rowOff>6341</xdr:rowOff>
    </xdr:to>
    <xdr:sp macro="" textlink="">
      <xdr:nvSpPr>
        <xdr:cNvPr id="53388" name="Rectangle 2">
          <a:extLst>
            <a:ext uri="{FF2B5EF4-FFF2-40B4-BE49-F238E27FC236}">
              <a16:creationId xmlns:a16="http://schemas.microsoft.com/office/drawing/2014/main" id="{00000000-0008-0000-0C00-00008CD00000}"/>
            </a:ext>
          </a:extLst>
        </xdr:cNvPr>
        <xdr:cNvSpPr>
          <a:spLocks noChangeArrowheads="1"/>
        </xdr:cNvSpPr>
      </xdr:nvSpPr>
      <xdr:spPr bwMode="auto">
        <a:xfrm>
          <a:off x="863600" y="5168900"/>
          <a:ext cx="10668000" cy="4813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469900</xdr:colOff>
      <xdr:row>40</xdr:row>
      <xdr:rowOff>107950</xdr:rowOff>
    </xdr:from>
    <xdr:to>
      <xdr:col>11</xdr:col>
      <xdr:colOff>115780</xdr:colOff>
      <xdr:row>46</xdr:row>
      <xdr:rowOff>15</xdr:rowOff>
    </xdr:to>
    <xdr:sp macro="" textlink="">
      <xdr:nvSpPr>
        <xdr:cNvPr id="6147" name="Rectangle 3">
          <a:extLst>
            <a:ext uri="{FF2B5EF4-FFF2-40B4-BE49-F238E27FC236}">
              <a16:creationId xmlns:a16="http://schemas.microsoft.com/office/drawing/2014/main" id="{00000000-0008-0000-0C00-000003180000}"/>
            </a:ext>
          </a:extLst>
        </xdr:cNvPr>
        <xdr:cNvSpPr>
          <a:spLocks noChangeArrowheads="1"/>
        </xdr:cNvSpPr>
      </xdr:nvSpPr>
      <xdr:spPr bwMode="auto">
        <a:xfrm>
          <a:off x="5867400" y="6261100"/>
          <a:ext cx="16764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Cyclus Ghana Ltd 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(100% owned by Cyclus NV, the Netherlands)</a:t>
          </a:r>
        </a:p>
      </xdr:txBody>
    </xdr:sp>
    <xdr:clientData/>
  </xdr:twoCellAnchor>
  <xdr:twoCellAnchor>
    <xdr:from>
      <xdr:col>1</xdr:col>
      <xdr:colOff>419100</xdr:colOff>
      <xdr:row>9</xdr:row>
      <xdr:rowOff>19050</xdr:rowOff>
    </xdr:from>
    <xdr:to>
      <xdr:col>4</xdr:col>
      <xdr:colOff>100908</xdr:colOff>
      <xdr:row>15</xdr:row>
      <xdr:rowOff>76278</xdr:rowOff>
    </xdr:to>
    <xdr:sp macro="" textlink="">
      <xdr:nvSpPr>
        <xdr:cNvPr id="6148" name="Rectangle 4">
          <a:extLst>
            <a:ext uri="{FF2B5EF4-FFF2-40B4-BE49-F238E27FC236}">
              <a16:creationId xmlns:a16="http://schemas.microsoft.com/office/drawing/2014/main" id="{00000000-0008-0000-0C00-000004180000}"/>
            </a:ext>
          </a:extLst>
        </xdr:cNvPr>
        <xdr:cNvSpPr>
          <a:spLocks noChangeArrowheads="1"/>
        </xdr:cNvSpPr>
      </xdr:nvSpPr>
      <xdr:spPr bwMode="auto">
        <a:xfrm>
          <a:off x="1117600" y="1460500"/>
          <a:ext cx="1663700" cy="96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Cyclus NV</a:t>
          </a:r>
        </a:p>
      </xdr:txBody>
    </xdr:sp>
    <xdr:clientData/>
  </xdr:twoCellAnchor>
  <xdr:twoCellAnchor>
    <xdr:from>
      <xdr:col>3</xdr:col>
      <xdr:colOff>419100</xdr:colOff>
      <xdr:row>48</xdr:row>
      <xdr:rowOff>38100</xdr:rowOff>
    </xdr:from>
    <xdr:to>
      <xdr:col>6</xdr:col>
      <xdr:colOff>116383</xdr:colOff>
      <xdr:row>53</xdr:row>
      <xdr:rowOff>76200</xdr:rowOff>
    </xdr:to>
    <xdr:sp macro="" textlink="">
      <xdr:nvSpPr>
        <xdr:cNvPr id="6149" name="Rectangle 5">
          <a:extLst>
            <a:ext uri="{FF2B5EF4-FFF2-40B4-BE49-F238E27FC236}">
              <a16:creationId xmlns:a16="http://schemas.microsoft.com/office/drawing/2014/main" id="{00000000-0008-0000-0C00-000005180000}"/>
            </a:ext>
          </a:extLst>
        </xdr:cNvPr>
        <xdr:cNvSpPr>
          <a:spLocks noChangeArrowheads="1"/>
        </xdr:cNvSpPr>
      </xdr:nvSpPr>
      <xdr:spPr bwMode="auto">
        <a:xfrm>
          <a:off x="2476500" y="7429500"/>
          <a:ext cx="1676400" cy="78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Government/District</a:t>
          </a:r>
        </a:p>
      </xdr:txBody>
    </xdr:sp>
    <xdr:clientData/>
  </xdr:twoCellAnchor>
  <xdr:twoCellAnchor>
    <xdr:from>
      <xdr:col>6</xdr:col>
      <xdr:colOff>127000</xdr:colOff>
      <xdr:row>45</xdr:row>
      <xdr:rowOff>152400</xdr:rowOff>
    </xdr:from>
    <xdr:to>
      <xdr:col>9</xdr:col>
      <xdr:colOff>647700</xdr:colOff>
      <xdr:row>50</xdr:row>
      <xdr:rowOff>152400</xdr:rowOff>
    </xdr:to>
    <xdr:cxnSp macro="">
      <xdr:nvCxnSpPr>
        <xdr:cNvPr id="74016" name="AutoShape 6">
          <a:extLst>
            <a:ext uri="{FF2B5EF4-FFF2-40B4-BE49-F238E27FC236}">
              <a16:creationId xmlns:a16="http://schemas.microsoft.com/office/drawing/2014/main" id="{00000000-0008-0000-0C00-000020210100}"/>
            </a:ext>
          </a:extLst>
        </xdr:cNvPr>
        <xdr:cNvCxnSpPr>
          <a:cxnSpLocks noChangeShapeType="1"/>
          <a:stCxn id="6147" idx="2"/>
          <a:endCxn id="6149" idx="3"/>
        </xdr:cNvCxnSpPr>
      </xdr:nvCxnSpPr>
      <xdr:spPr bwMode="auto">
        <a:xfrm rot="5400000">
          <a:off x="5022850" y="6788150"/>
          <a:ext cx="825500" cy="2540000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460375</xdr:colOff>
      <xdr:row>50</xdr:row>
      <xdr:rowOff>111125</xdr:rowOff>
    </xdr:from>
    <xdr:to>
      <xdr:col>14</xdr:col>
      <xdr:colOff>50272</xdr:colOff>
      <xdr:row>52</xdr:row>
      <xdr:rowOff>38288</xdr:rowOff>
    </xdr:to>
    <xdr:sp macro="" textlink="">
      <xdr:nvSpPr>
        <xdr:cNvPr id="6151" name="Rectangle 7">
          <a:extLst>
            <a:ext uri="{FF2B5EF4-FFF2-40B4-BE49-F238E27FC236}">
              <a16:creationId xmlns:a16="http://schemas.microsoft.com/office/drawing/2014/main" id="{00000000-0008-0000-0C00-000007180000}"/>
            </a:ext>
          </a:extLst>
        </xdr:cNvPr>
        <xdr:cNvSpPr>
          <a:spLocks noChangeArrowheads="1"/>
        </xdr:cNvSpPr>
      </xdr:nvSpPr>
      <xdr:spPr bwMode="auto">
        <a:xfrm>
          <a:off x="7899400" y="78105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Purchase plastics</a:t>
          </a:r>
        </a:p>
      </xdr:txBody>
    </xdr:sp>
    <xdr:clientData/>
  </xdr:twoCellAnchor>
  <xdr:twoCellAnchor>
    <xdr:from>
      <xdr:col>4</xdr:col>
      <xdr:colOff>622300</xdr:colOff>
      <xdr:row>43</xdr:row>
      <xdr:rowOff>50800</xdr:rowOff>
    </xdr:from>
    <xdr:to>
      <xdr:col>11</xdr:col>
      <xdr:colOff>139700</xdr:colOff>
      <xdr:row>53</xdr:row>
      <xdr:rowOff>88900</xdr:rowOff>
    </xdr:to>
    <xdr:cxnSp macro="">
      <xdr:nvCxnSpPr>
        <xdr:cNvPr id="74018" name="AutoShape 8">
          <a:extLst>
            <a:ext uri="{FF2B5EF4-FFF2-40B4-BE49-F238E27FC236}">
              <a16:creationId xmlns:a16="http://schemas.microsoft.com/office/drawing/2014/main" id="{00000000-0008-0000-0C00-000022210100}"/>
            </a:ext>
          </a:extLst>
        </xdr:cNvPr>
        <xdr:cNvCxnSpPr>
          <a:cxnSpLocks noChangeShapeType="1"/>
          <a:stCxn id="6149" idx="2"/>
          <a:endCxn id="6147" idx="3"/>
        </xdr:cNvCxnSpPr>
      </xdr:nvCxnSpPr>
      <xdr:spPr bwMode="auto">
        <a:xfrm rot="5400000" flipH="1" flipV="1">
          <a:off x="4584700" y="5943600"/>
          <a:ext cx="1689100" cy="4229100"/>
        </a:xfrm>
        <a:prstGeom prst="bentConnector4">
          <a:avLst>
            <a:gd name="adj1" fmla="val -13296"/>
            <a:gd name="adj2" fmla="val 10573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392113</xdr:colOff>
      <xdr:row>51</xdr:row>
      <xdr:rowOff>6350</xdr:rowOff>
    </xdr:from>
    <xdr:to>
      <xdr:col>9</xdr:col>
      <xdr:colOff>593576</xdr:colOff>
      <xdr:row>52</xdr:row>
      <xdr:rowOff>98041</xdr:rowOff>
    </xdr:to>
    <xdr:sp macro="" textlink="">
      <xdr:nvSpPr>
        <xdr:cNvPr id="6153" name="Rectangle 9">
          <a:extLst>
            <a:ext uri="{FF2B5EF4-FFF2-40B4-BE49-F238E27FC236}">
              <a16:creationId xmlns:a16="http://schemas.microsoft.com/office/drawing/2014/main" id="{00000000-0008-0000-0C00-000009180000}"/>
            </a:ext>
          </a:extLst>
        </xdr:cNvPr>
        <xdr:cNvSpPr>
          <a:spLocks noChangeArrowheads="1"/>
        </xdr:cNvSpPr>
      </xdr:nvSpPr>
      <xdr:spPr bwMode="auto">
        <a:xfrm>
          <a:off x="5105400" y="7848600"/>
          <a:ext cx="15875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plastics</a:t>
          </a:r>
        </a:p>
      </xdr:txBody>
    </xdr:sp>
    <xdr:clientData/>
  </xdr:twoCellAnchor>
  <xdr:twoCellAnchor>
    <xdr:from>
      <xdr:col>15</xdr:col>
      <xdr:colOff>658813</xdr:colOff>
      <xdr:row>4</xdr:row>
      <xdr:rowOff>123825</xdr:rowOff>
    </xdr:from>
    <xdr:to>
      <xdr:col>23</xdr:col>
      <xdr:colOff>503427</xdr:colOff>
      <xdr:row>18</xdr:row>
      <xdr:rowOff>107964</xdr:rowOff>
    </xdr:to>
    <xdr:sp macro="" textlink="">
      <xdr:nvSpPr>
        <xdr:cNvPr id="53396" name="Rectangle 10">
          <a:extLst>
            <a:ext uri="{FF2B5EF4-FFF2-40B4-BE49-F238E27FC236}">
              <a16:creationId xmlns:a16="http://schemas.microsoft.com/office/drawing/2014/main" id="{00000000-0008-0000-0C00-000094D00000}"/>
            </a:ext>
          </a:extLst>
        </xdr:cNvPr>
        <xdr:cNvSpPr>
          <a:spLocks noChangeArrowheads="1"/>
        </xdr:cNvSpPr>
      </xdr:nvSpPr>
      <xdr:spPr bwMode="auto">
        <a:xfrm>
          <a:off x="10756900" y="863600"/>
          <a:ext cx="5245100" cy="22860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334963</xdr:colOff>
      <xdr:row>31</xdr:row>
      <xdr:rowOff>111125</xdr:rowOff>
    </xdr:from>
    <xdr:to>
      <xdr:col>16</xdr:col>
      <xdr:colOff>544103</xdr:colOff>
      <xdr:row>33</xdr:row>
      <xdr:rowOff>38288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0000000-0008-0000-0C00-00000B180000}"/>
            </a:ext>
          </a:extLst>
        </xdr:cNvPr>
        <xdr:cNvSpPr>
          <a:spLocks noChangeArrowheads="1"/>
        </xdr:cNvSpPr>
      </xdr:nvSpPr>
      <xdr:spPr bwMode="auto">
        <a:xfrm>
          <a:off x="9766300" y="49149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GHANA</a:t>
          </a:r>
        </a:p>
      </xdr:txBody>
    </xdr:sp>
    <xdr:clientData/>
  </xdr:twoCellAnchor>
  <xdr:twoCellAnchor>
    <xdr:from>
      <xdr:col>4</xdr:col>
      <xdr:colOff>655638</xdr:colOff>
      <xdr:row>8</xdr:row>
      <xdr:rowOff>111125</xdr:rowOff>
    </xdr:from>
    <xdr:to>
      <xdr:col>7</xdr:col>
      <xdr:colOff>208044</xdr:colOff>
      <xdr:row>10</xdr:row>
      <xdr:rowOff>38944</xdr:rowOff>
    </xdr:to>
    <xdr:sp macro="" textlink="">
      <xdr:nvSpPr>
        <xdr:cNvPr id="6156" name="Rectangle 12">
          <a:extLst>
            <a:ext uri="{FF2B5EF4-FFF2-40B4-BE49-F238E27FC236}">
              <a16:creationId xmlns:a16="http://schemas.microsoft.com/office/drawing/2014/main" id="{00000000-0008-0000-0C00-00000C180000}"/>
            </a:ext>
          </a:extLst>
        </xdr:cNvPr>
        <xdr:cNvSpPr>
          <a:spLocks noChangeArrowheads="1"/>
        </xdr:cNvSpPr>
      </xdr:nvSpPr>
      <xdr:spPr bwMode="auto">
        <a:xfrm>
          <a:off x="3340100" y="1409700"/>
          <a:ext cx="15875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</a:t>
          </a:r>
        </a:p>
      </xdr:txBody>
    </xdr:sp>
    <xdr:clientData/>
  </xdr:twoCellAnchor>
  <xdr:twoCellAnchor>
    <xdr:from>
      <xdr:col>19</xdr:col>
      <xdr:colOff>15875</xdr:colOff>
      <xdr:row>9</xdr:row>
      <xdr:rowOff>0</xdr:rowOff>
    </xdr:from>
    <xdr:to>
      <xdr:col>21</xdr:col>
      <xdr:colOff>336532</xdr:colOff>
      <xdr:row>15</xdr:row>
      <xdr:rowOff>19025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00000000-0008-0000-0C00-00000D180000}"/>
            </a:ext>
          </a:extLst>
        </xdr:cNvPr>
        <xdr:cNvSpPr>
          <a:spLocks noChangeArrowheads="1"/>
        </xdr:cNvSpPr>
      </xdr:nvSpPr>
      <xdr:spPr bwMode="auto">
        <a:xfrm>
          <a:off x="12814300" y="1422400"/>
          <a:ext cx="16637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Trading Companies</a:t>
          </a:r>
        </a:p>
      </xdr:txBody>
    </xdr:sp>
    <xdr:clientData/>
  </xdr:twoCellAnchor>
  <xdr:twoCellAnchor>
    <xdr:from>
      <xdr:col>21</xdr:col>
      <xdr:colOff>538163</xdr:colOff>
      <xdr:row>5</xdr:row>
      <xdr:rowOff>76200</xdr:rowOff>
    </xdr:from>
    <xdr:to>
      <xdr:col>23</xdr:col>
      <xdr:colOff>351894</xdr:colOff>
      <xdr:row>7</xdr:row>
      <xdr:rowOff>275</xdr:rowOff>
    </xdr:to>
    <xdr:sp macro="" textlink="">
      <xdr:nvSpPr>
        <xdr:cNvPr id="6158" name="Rectangle 14">
          <a:extLst>
            <a:ext uri="{FF2B5EF4-FFF2-40B4-BE49-F238E27FC236}">
              <a16:creationId xmlns:a16="http://schemas.microsoft.com/office/drawing/2014/main" id="{00000000-0008-0000-0C00-00000E180000}"/>
            </a:ext>
          </a:extLst>
        </xdr:cNvPr>
        <xdr:cNvSpPr>
          <a:spLocks noChangeArrowheads="1"/>
        </xdr:cNvSpPr>
      </xdr:nvSpPr>
      <xdr:spPr bwMode="auto">
        <a:xfrm>
          <a:off x="14681200" y="901700"/>
          <a:ext cx="1168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ASIA</a:t>
          </a:r>
        </a:p>
      </xdr:txBody>
    </xdr:sp>
    <xdr:clientData/>
  </xdr:twoCellAnchor>
  <xdr:twoCellAnchor>
    <xdr:from>
      <xdr:col>11</xdr:col>
      <xdr:colOff>139700</xdr:colOff>
      <xdr:row>12</xdr:row>
      <xdr:rowOff>12700</xdr:rowOff>
    </xdr:from>
    <xdr:to>
      <xdr:col>21</xdr:col>
      <xdr:colOff>342900</xdr:colOff>
      <xdr:row>43</xdr:row>
      <xdr:rowOff>50800</xdr:rowOff>
    </xdr:to>
    <xdr:cxnSp macro="">
      <xdr:nvCxnSpPr>
        <xdr:cNvPr id="74025" name="AutoShape 15">
          <a:extLst>
            <a:ext uri="{FF2B5EF4-FFF2-40B4-BE49-F238E27FC236}">
              <a16:creationId xmlns:a16="http://schemas.microsoft.com/office/drawing/2014/main" id="{00000000-0008-0000-0C00-000029210100}"/>
            </a:ext>
          </a:extLst>
        </xdr:cNvPr>
        <xdr:cNvCxnSpPr>
          <a:cxnSpLocks noChangeShapeType="1"/>
          <a:stCxn id="6147" idx="3"/>
          <a:endCxn id="6157" idx="3"/>
        </xdr:cNvCxnSpPr>
      </xdr:nvCxnSpPr>
      <xdr:spPr bwMode="auto">
        <a:xfrm flipV="1">
          <a:off x="7543800" y="2057400"/>
          <a:ext cx="6934200" cy="5156200"/>
        </a:xfrm>
        <a:prstGeom prst="bentConnector3">
          <a:avLst>
            <a:gd name="adj1" fmla="val 103486"/>
          </a:avLst>
        </a:prstGeom>
        <a:noFill/>
        <a:ln w="952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541338</xdr:colOff>
      <xdr:row>44</xdr:row>
      <xdr:rowOff>57150</xdr:rowOff>
    </xdr:from>
    <xdr:to>
      <xdr:col>21</xdr:col>
      <xdr:colOff>204600</xdr:colOff>
      <xdr:row>47</xdr:row>
      <xdr:rowOff>38191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00000000-0008-0000-0C00-000010180000}"/>
            </a:ext>
          </a:extLst>
        </xdr:cNvPr>
        <xdr:cNvSpPr>
          <a:spLocks noChangeArrowheads="1"/>
        </xdr:cNvSpPr>
      </xdr:nvSpPr>
      <xdr:spPr bwMode="auto">
        <a:xfrm>
          <a:off x="12014200" y="6832600"/>
          <a:ext cx="23241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 &amp; shipment of recycled plastics </a:t>
          </a:r>
        </a:p>
      </xdr:txBody>
    </xdr:sp>
    <xdr:clientData/>
  </xdr:twoCellAnchor>
  <xdr:twoCellAnchor>
    <xdr:from>
      <xdr:col>11</xdr:col>
      <xdr:colOff>84138</xdr:colOff>
      <xdr:row>26</xdr:row>
      <xdr:rowOff>38100</xdr:rowOff>
    </xdr:from>
    <xdr:to>
      <xdr:col>14</xdr:col>
      <xdr:colOff>395358</xdr:colOff>
      <xdr:row>27</xdr:row>
      <xdr:rowOff>111268</xdr:rowOff>
    </xdr:to>
    <xdr:sp macro="" textlink="">
      <xdr:nvSpPr>
        <xdr:cNvPr id="6161" name="Rectangle 17">
          <a:extLst>
            <a:ext uri="{FF2B5EF4-FFF2-40B4-BE49-F238E27FC236}">
              <a16:creationId xmlns:a16="http://schemas.microsoft.com/office/drawing/2014/main" id="{00000000-0008-0000-0C00-000011180000}"/>
            </a:ext>
          </a:extLst>
        </xdr:cNvPr>
        <xdr:cNvSpPr>
          <a:spLocks noChangeArrowheads="1"/>
        </xdr:cNvSpPr>
      </xdr:nvSpPr>
      <xdr:spPr bwMode="auto">
        <a:xfrm>
          <a:off x="7505700" y="4076700"/>
          <a:ext cx="2324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Sale of recycled plastics</a:t>
          </a:r>
        </a:p>
      </xdr:txBody>
    </xdr:sp>
    <xdr:clientData/>
  </xdr:twoCellAnchor>
  <xdr:twoCellAnchor>
    <xdr:from>
      <xdr:col>9</xdr:col>
      <xdr:colOff>647700</xdr:colOff>
      <xdr:row>15</xdr:row>
      <xdr:rowOff>25400</xdr:rowOff>
    </xdr:from>
    <xdr:to>
      <xdr:col>20</xdr:col>
      <xdr:colOff>203200</xdr:colOff>
      <xdr:row>40</xdr:row>
      <xdr:rowOff>114300</xdr:rowOff>
    </xdr:to>
    <xdr:cxnSp macro="">
      <xdr:nvCxnSpPr>
        <xdr:cNvPr id="74028" name="AutoShape 18">
          <a:extLst>
            <a:ext uri="{FF2B5EF4-FFF2-40B4-BE49-F238E27FC236}">
              <a16:creationId xmlns:a16="http://schemas.microsoft.com/office/drawing/2014/main" id="{00000000-0008-0000-0C00-00002C210100}"/>
            </a:ext>
          </a:extLst>
        </xdr:cNvPr>
        <xdr:cNvCxnSpPr>
          <a:cxnSpLocks noChangeShapeType="1"/>
          <a:stCxn id="6147" idx="0"/>
          <a:endCxn id="6157" idx="2"/>
        </xdr:cNvCxnSpPr>
      </xdr:nvCxnSpPr>
      <xdr:spPr bwMode="auto">
        <a:xfrm rot="-5400000">
          <a:off x="8077200" y="1193800"/>
          <a:ext cx="4216400" cy="69596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469900</xdr:colOff>
      <xdr:row>8</xdr:row>
      <xdr:rowOff>152400</xdr:rowOff>
    </xdr:from>
    <xdr:to>
      <xdr:col>20</xdr:col>
      <xdr:colOff>203200</xdr:colOff>
      <xdr:row>43</xdr:row>
      <xdr:rowOff>50800</xdr:rowOff>
    </xdr:to>
    <xdr:cxnSp macro="">
      <xdr:nvCxnSpPr>
        <xdr:cNvPr id="74029" name="AutoShape 21">
          <a:extLst>
            <a:ext uri="{FF2B5EF4-FFF2-40B4-BE49-F238E27FC236}">
              <a16:creationId xmlns:a16="http://schemas.microsoft.com/office/drawing/2014/main" id="{00000000-0008-0000-0C00-00002D210100}"/>
            </a:ext>
          </a:extLst>
        </xdr:cNvPr>
        <xdr:cNvCxnSpPr>
          <a:cxnSpLocks noChangeShapeType="1"/>
          <a:stCxn id="6157" idx="0"/>
          <a:endCxn id="6147" idx="1"/>
        </xdr:cNvCxnSpPr>
      </xdr:nvCxnSpPr>
      <xdr:spPr bwMode="auto">
        <a:xfrm rot="-5400000" flipH="1" flipV="1">
          <a:off x="6921500" y="469900"/>
          <a:ext cx="5676900" cy="7810500"/>
        </a:xfrm>
        <a:prstGeom prst="bentConnector4">
          <a:avLst>
            <a:gd name="adj1" fmla="val -4097"/>
            <a:gd name="adj2" fmla="val 103245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419100</xdr:colOff>
      <xdr:row>7</xdr:row>
      <xdr:rowOff>111125</xdr:rowOff>
    </xdr:from>
    <xdr:to>
      <xdr:col>10</xdr:col>
      <xdr:colOff>655851</xdr:colOff>
      <xdr:row>9</xdr:row>
      <xdr:rowOff>38288</xdr:rowOff>
    </xdr:to>
    <xdr:sp macro="" textlink="">
      <xdr:nvSpPr>
        <xdr:cNvPr id="6166" name="Rectangle 22">
          <a:extLst>
            <a:ext uri="{FF2B5EF4-FFF2-40B4-BE49-F238E27FC236}">
              <a16:creationId xmlns:a16="http://schemas.microsoft.com/office/drawing/2014/main" id="{00000000-0008-0000-0C00-000016180000}"/>
            </a:ext>
          </a:extLst>
        </xdr:cNvPr>
        <xdr:cNvSpPr>
          <a:spLocks noChangeArrowheads="1"/>
        </xdr:cNvSpPr>
      </xdr:nvSpPr>
      <xdr:spPr bwMode="auto">
        <a:xfrm>
          <a:off x="5803900" y="12573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of invoices</a:t>
          </a:r>
        </a:p>
      </xdr:txBody>
    </xdr:sp>
    <xdr:clientData/>
  </xdr:twoCellAnchor>
  <xdr:twoCellAnchor>
    <xdr:from>
      <xdr:col>5</xdr:col>
      <xdr:colOff>522288</xdr:colOff>
      <xdr:row>33</xdr:row>
      <xdr:rowOff>0</xdr:rowOff>
    </xdr:from>
    <xdr:to>
      <xdr:col>8</xdr:col>
      <xdr:colOff>100974</xdr:colOff>
      <xdr:row>34</xdr:row>
      <xdr:rowOff>76426</xdr:rowOff>
    </xdr:to>
    <xdr:sp macro="" textlink="">
      <xdr:nvSpPr>
        <xdr:cNvPr id="6168" name="Rectangle 24">
          <a:extLst>
            <a:ext uri="{FF2B5EF4-FFF2-40B4-BE49-F238E27FC236}">
              <a16:creationId xmlns:a16="http://schemas.microsoft.com/office/drawing/2014/main" id="{00000000-0008-0000-0C00-000018180000}"/>
            </a:ext>
          </a:extLst>
        </xdr:cNvPr>
        <xdr:cNvSpPr>
          <a:spLocks noChangeArrowheads="1"/>
        </xdr:cNvSpPr>
      </xdr:nvSpPr>
      <xdr:spPr bwMode="auto">
        <a:xfrm>
          <a:off x="3898900" y="50927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of sold plastics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503238</xdr:colOff>
      <xdr:row>1</xdr:row>
      <xdr:rowOff>146050</xdr:rowOff>
    </xdr:from>
    <xdr:to>
      <xdr:col>13</xdr:col>
      <xdr:colOff>382625</xdr:colOff>
      <xdr:row>22</xdr:row>
      <xdr:rowOff>44438</xdr:rowOff>
    </xdr:to>
    <xdr:sp macro="" textlink="">
      <xdr:nvSpPr>
        <xdr:cNvPr id="55310" name="Rectangle 4">
          <a:extLst>
            <a:ext uri="{FF2B5EF4-FFF2-40B4-BE49-F238E27FC236}">
              <a16:creationId xmlns:a16="http://schemas.microsoft.com/office/drawing/2014/main" id="{00000000-0008-0000-0D00-00000ED80000}"/>
            </a:ext>
          </a:extLst>
        </xdr:cNvPr>
        <xdr:cNvSpPr>
          <a:spLocks noChangeArrowheads="1"/>
        </xdr:cNvSpPr>
      </xdr:nvSpPr>
      <xdr:spPr bwMode="auto">
        <a:xfrm>
          <a:off x="3886200" y="317500"/>
          <a:ext cx="5245100" cy="33655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171450</xdr:colOff>
      <xdr:row>27</xdr:row>
      <xdr:rowOff>146050</xdr:rowOff>
    </xdr:from>
    <xdr:to>
      <xdr:col>17</xdr:col>
      <xdr:colOff>84180</xdr:colOff>
      <xdr:row>57</xdr:row>
      <xdr:rowOff>6341</xdr:rowOff>
    </xdr:to>
    <xdr:sp macro="" textlink="">
      <xdr:nvSpPr>
        <xdr:cNvPr id="55311" name="Rectangle 1">
          <a:extLst>
            <a:ext uri="{FF2B5EF4-FFF2-40B4-BE49-F238E27FC236}">
              <a16:creationId xmlns:a16="http://schemas.microsoft.com/office/drawing/2014/main" id="{00000000-0008-0000-0D00-00000FD80000}"/>
            </a:ext>
          </a:extLst>
        </xdr:cNvPr>
        <xdr:cNvSpPr>
          <a:spLocks noChangeArrowheads="1"/>
        </xdr:cNvSpPr>
      </xdr:nvSpPr>
      <xdr:spPr bwMode="auto">
        <a:xfrm>
          <a:off x="863600" y="4610100"/>
          <a:ext cx="10668000" cy="4813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469900</xdr:colOff>
      <xdr:row>37</xdr:row>
      <xdr:rowOff>107950</xdr:rowOff>
    </xdr:from>
    <xdr:to>
      <xdr:col>11</xdr:col>
      <xdr:colOff>115780</xdr:colOff>
      <xdr:row>43</xdr:row>
      <xdr:rowOff>15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D00-000002140000}"/>
            </a:ext>
          </a:extLst>
        </xdr:cNvPr>
        <xdr:cNvSpPr>
          <a:spLocks noChangeArrowheads="1"/>
        </xdr:cNvSpPr>
      </xdr:nvSpPr>
      <xdr:spPr bwMode="auto">
        <a:xfrm>
          <a:off x="5867400" y="5740400"/>
          <a:ext cx="16764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Cyclus Ghana Ltd 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(100% owned by Cyclus NV, the Netherlands)</a:t>
          </a:r>
        </a:p>
      </xdr:txBody>
    </xdr:sp>
    <xdr:clientData/>
  </xdr:twoCellAnchor>
  <xdr:twoCellAnchor>
    <xdr:from>
      <xdr:col>8</xdr:col>
      <xdr:colOff>469900</xdr:colOff>
      <xdr:row>5</xdr:row>
      <xdr:rowOff>111125</xdr:rowOff>
    </xdr:from>
    <xdr:to>
      <xdr:col>11</xdr:col>
      <xdr:colOff>115780</xdr:colOff>
      <xdr:row>12</xdr:row>
      <xdr:rowOff>6432</xdr:rowOff>
    </xdr:to>
    <xdr:sp macro="" textlink="">
      <xdr:nvSpPr>
        <xdr:cNvPr id="5123" name="Rectangle 3">
          <a:extLst>
            <a:ext uri="{FF2B5EF4-FFF2-40B4-BE49-F238E27FC236}">
              <a16:creationId xmlns:a16="http://schemas.microsoft.com/office/drawing/2014/main" id="{00000000-0008-0000-0D00-000003140000}"/>
            </a:ext>
          </a:extLst>
        </xdr:cNvPr>
        <xdr:cNvSpPr>
          <a:spLocks noChangeArrowheads="1"/>
        </xdr:cNvSpPr>
      </xdr:nvSpPr>
      <xdr:spPr bwMode="auto">
        <a:xfrm>
          <a:off x="5867400" y="889000"/>
          <a:ext cx="16764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Cyclus NV</a:t>
          </a:r>
        </a:p>
      </xdr:txBody>
    </xdr:sp>
    <xdr:clientData/>
  </xdr:twoCellAnchor>
  <xdr:twoCellAnchor>
    <xdr:from>
      <xdr:col>3</xdr:col>
      <xdr:colOff>419100</xdr:colOff>
      <xdr:row>45</xdr:row>
      <xdr:rowOff>38100</xdr:rowOff>
    </xdr:from>
    <xdr:to>
      <xdr:col>6</xdr:col>
      <xdr:colOff>116383</xdr:colOff>
      <xdr:row>50</xdr:row>
      <xdr:rowOff>76200</xdr:rowOff>
    </xdr:to>
    <xdr:sp macro="" textlink="">
      <xdr:nvSpPr>
        <xdr:cNvPr id="5126" name="Rectangle 6">
          <a:extLst>
            <a:ext uri="{FF2B5EF4-FFF2-40B4-BE49-F238E27FC236}">
              <a16:creationId xmlns:a16="http://schemas.microsoft.com/office/drawing/2014/main" id="{00000000-0008-0000-0D00-000006140000}"/>
            </a:ext>
          </a:extLst>
        </xdr:cNvPr>
        <xdr:cNvSpPr>
          <a:spLocks noChangeArrowheads="1"/>
        </xdr:cNvSpPr>
      </xdr:nvSpPr>
      <xdr:spPr bwMode="auto">
        <a:xfrm>
          <a:off x="2476500" y="6908800"/>
          <a:ext cx="1676400" cy="78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Government/District</a:t>
          </a:r>
        </a:p>
      </xdr:txBody>
    </xdr:sp>
    <xdr:clientData/>
  </xdr:twoCellAnchor>
  <xdr:twoCellAnchor>
    <xdr:from>
      <xdr:col>6</xdr:col>
      <xdr:colOff>127000</xdr:colOff>
      <xdr:row>42</xdr:row>
      <xdr:rowOff>152400</xdr:rowOff>
    </xdr:from>
    <xdr:to>
      <xdr:col>9</xdr:col>
      <xdr:colOff>647700</xdr:colOff>
      <xdr:row>47</xdr:row>
      <xdr:rowOff>152400</xdr:rowOff>
    </xdr:to>
    <xdr:cxnSp macro="">
      <xdr:nvCxnSpPr>
        <xdr:cNvPr id="73325" name="AutoShape 7">
          <a:extLst>
            <a:ext uri="{FF2B5EF4-FFF2-40B4-BE49-F238E27FC236}">
              <a16:creationId xmlns:a16="http://schemas.microsoft.com/office/drawing/2014/main" id="{00000000-0008-0000-0D00-00006D1E0100}"/>
            </a:ext>
          </a:extLst>
        </xdr:cNvPr>
        <xdr:cNvCxnSpPr>
          <a:cxnSpLocks noChangeShapeType="1"/>
          <a:stCxn id="5122" idx="2"/>
          <a:endCxn id="5126" idx="3"/>
        </xdr:cNvCxnSpPr>
      </xdr:nvCxnSpPr>
      <xdr:spPr bwMode="auto">
        <a:xfrm rot="5400000">
          <a:off x="5022850" y="6229350"/>
          <a:ext cx="825500" cy="2540000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460375</xdr:colOff>
      <xdr:row>47</xdr:row>
      <xdr:rowOff>111125</xdr:rowOff>
    </xdr:from>
    <xdr:to>
      <xdr:col>14</xdr:col>
      <xdr:colOff>50272</xdr:colOff>
      <xdr:row>49</xdr:row>
      <xdr:rowOff>38288</xdr:rowOff>
    </xdr:to>
    <xdr:sp macro="" textlink="">
      <xdr:nvSpPr>
        <xdr:cNvPr id="5128" name="Rectangle 8">
          <a:extLst>
            <a:ext uri="{FF2B5EF4-FFF2-40B4-BE49-F238E27FC236}">
              <a16:creationId xmlns:a16="http://schemas.microsoft.com/office/drawing/2014/main" id="{00000000-0008-0000-0D00-000008140000}"/>
            </a:ext>
          </a:extLst>
        </xdr:cNvPr>
        <xdr:cNvSpPr>
          <a:spLocks noChangeArrowheads="1"/>
        </xdr:cNvSpPr>
      </xdr:nvSpPr>
      <xdr:spPr bwMode="auto">
        <a:xfrm>
          <a:off x="7899400" y="72898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Purchase plastics</a:t>
          </a:r>
        </a:p>
      </xdr:txBody>
    </xdr:sp>
    <xdr:clientData/>
  </xdr:twoCellAnchor>
  <xdr:twoCellAnchor>
    <xdr:from>
      <xdr:col>4</xdr:col>
      <xdr:colOff>622300</xdr:colOff>
      <xdr:row>40</xdr:row>
      <xdr:rowOff>50800</xdr:rowOff>
    </xdr:from>
    <xdr:to>
      <xdr:col>11</xdr:col>
      <xdr:colOff>139700</xdr:colOff>
      <xdr:row>50</xdr:row>
      <xdr:rowOff>88900</xdr:rowOff>
    </xdr:to>
    <xdr:cxnSp macro="">
      <xdr:nvCxnSpPr>
        <xdr:cNvPr id="73327" name="AutoShape 9">
          <a:extLst>
            <a:ext uri="{FF2B5EF4-FFF2-40B4-BE49-F238E27FC236}">
              <a16:creationId xmlns:a16="http://schemas.microsoft.com/office/drawing/2014/main" id="{00000000-0008-0000-0D00-00006F1E0100}"/>
            </a:ext>
          </a:extLst>
        </xdr:cNvPr>
        <xdr:cNvCxnSpPr>
          <a:cxnSpLocks noChangeShapeType="1"/>
          <a:stCxn id="5126" idx="2"/>
          <a:endCxn id="5122" idx="3"/>
        </xdr:cNvCxnSpPr>
      </xdr:nvCxnSpPr>
      <xdr:spPr bwMode="auto">
        <a:xfrm rot="5400000" flipH="1" flipV="1">
          <a:off x="4584700" y="5384800"/>
          <a:ext cx="1689100" cy="4229100"/>
        </a:xfrm>
        <a:prstGeom prst="bentConnector4">
          <a:avLst>
            <a:gd name="adj1" fmla="val -13296"/>
            <a:gd name="adj2" fmla="val 10573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392113</xdr:colOff>
      <xdr:row>48</xdr:row>
      <xdr:rowOff>6350</xdr:rowOff>
    </xdr:from>
    <xdr:to>
      <xdr:col>9</xdr:col>
      <xdr:colOff>593576</xdr:colOff>
      <xdr:row>49</xdr:row>
      <xdr:rowOff>98041</xdr:rowOff>
    </xdr:to>
    <xdr:sp macro="" textlink="">
      <xdr:nvSpPr>
        <xdr:cNvPr id="5130" name="Rectangle 10">
          <a:extLst>
            <a:ext uri="{FF2B5EF4-FFF2-40B4-BE49-F238E27FC236}">
              <a16:creationId xmlns:a16="http://schemas.microsoft.com/office/drawing/2014/main" id="{00000000-0008-0000-0D00-00000A140000}"/>
            </a:ext>
          </a:extLst>
        </xdr:cNvPr>
        <xdr:cNvSpPr>
          <a:spLocks noChangeArrowheads="1"/>
        </xdr:cNvSpPr>
      </xdr:nvSpPr>
      <xdr:spPr bwMode="auto">
        <a:xfrm>
          <a:off x="5105400" y="7327900"/>
          <a:ext cx="15875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plastics</a:t>
          </a:r>
        </a:p>
      </xdr:txBody>
    </xdr:sp>
    <xdr:clientData/>
  </xdr:twoCellAnchor>
  <xdr:twoCellAnchor>
    <xdr:from>
      <xdr:col>15</xdr:col>
      <xdr:colOff>658813</xdr:colOff>
      <xdr:row>1</xdr:row>
      <xdr:rowOff>123825</xdr:rowOff>
    </xdr:from>
    <xdr:to>
      <xdr:col>23</xdr:col>
      <xdr:colOff>503427</xdr:colOff>
      <xdr:row>22</xdr:row>
      <xdr:rowOff>38103</xdr:rowOff>
    </xdr:to>
    <xdr:sp macro="" textlink="">
      <xdr:nvSpPr>
        <xdr:cNvPr id="55319" name="Rectangle 14">
          <a:extLst>
            <a:ext uri="{FF2B5EF4-FFF2-40B4-BE49-F238E27FC236}">
              <a16:creationId xmlns:a16="http://schemas.microsoft.com/office/drawing/2014/main" id="{00000000-0008-0000-0D00-000017D80000}"/>
            </a:ext>
          </a:extLst>
        </xdr:cNvPr>
        <xdr:cNvSpPr>
          <a:spLocks noChangeArrowheads="1"/>
        </xdr:cNvSpPr>
      </xdr:nvSpPr>
      <xdr:spPr bwMode="auto">
        <a:xfrm>
          <a:off x="10756900" y="304800"/>
          <a:ext cx="5245100" cy="33655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334963</xdr:colOff>
      <xdr:row>28</xdr:row>
      <xdr:rowOff>111125</xdr:rowOff>
    </xdr:from>
    <xdr:to>
      <xdr:col>16</xdr:col>
      <xdr:colOff>544103</xdr:colOff>
      <xdr:row>30</xdr:row>
      <xdr:rowOff>38288</xdr:rowOff>
    </xdr:to>
    <xdr:sp macro="" textlink="">
      <xdr:nvSpPr>
        <xdr:cNvPr id="5135" name="Rectangle 15">
          <a:extLst>
            <a:ext uri="{FF2B5EF4-FFF2-40B4-BE49-F238E27FC236}">
              <a16:creationId xmlns:a16="http://schemas.microsoft.com/office/drawing/2014/main" id="{00000000-0008-0000-0D00-00000F140000}"/>
            </a:ext>
          </a:extLst>
        </xdr:cNvPr>
        <xdr:cNvSpPr>
          <a:spLocks noChangeArrowheads="1"/>
        </xdr:cNvSpPr>
      </xdr:nvSpPr>
      <xdr:spPr bwMode="auto">
        <a:xfrm>
          <a:off x="9766300" y="43942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GHANA</a:t>
          </a:r>
        </a:p>
      </xdr:txBody>
    </xdr:sp>
    <xdr:clientData/>
  </xdr:twoCellAnchor>
  <xdr:twoCellAnchor>
    <xdr:from>
      <xdr:col>5</xdr:col>
      <xdr:colOff>538163</xdr:colOff>
      <xdr:row>2</xdr:row>
      <xdr:rowOff>107950</xdr:rowOff>
    </xdr:from>
    <xdr:to>
      <xdr:col>8</xdr:col>
      <xdr:colOff>84658</xdr:colOff>
      <xdr:row>4</xdr:row>
      <xdr:rowOff>19050</xdr:rowOff>
    </xdr:to>
    <xdr:sp macro="" textlink="">
      <xdr:nvSpPr>
        <xdr:cNvPr id="5136" name="Rectangle 16">
          <a:extLst>
            <a:ext uri="{FF2B5EF4-FFF2-40B4-BE49-F238E27FC236}">
              <a16:creationId xmlns:a16="http://schemas.microsoft.com/office/drawing/2014/main" id="{00000000-0008-0000-0D00-000010140000}"/>
            </a:ext>
          </a:extLst>
        </xdr:cNvPr>
        <xdr:cNvSpPr>
          <a:spLocks noChangeArrowheads="1"/>
        </xdr:cNvSpPr>
      </xdr:nvSpPr>
      <xdr:spPr bwMode="auto">
        <a:xfrm>
          <a:off x="3911600" y="4064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NETHERLANDS</a:t>
          </a:r>
        </a:p>
      </xdr:txBody>
    </xdr:sp>
    <xdr:clientData/>
  </xdr:twoCellAnchor>
  <xdr:twoCellAnchor>
    <xdr:from>
      <xdr:col>19</xdr:col>
      <xdr:colOff>15875</xdr:colOff>
      <xdr:row>6</xdr:row>
      <xdr:rowOff>0</xdr:rowOff>
    </xdr:from>
    <xdr:to>
      <xdr:col>21</xdr:col>
      <xdr:colOff>336532</xdr:colOff>
      <xdr:row>12</xdr:row>
      <xdr:rowOff>19025</xdr:rowOff>
    </xdr:to>
    <xdr:sp macro="" textlink="">
      <xdr:nvSpPr>
        <xdr:cNvPr id="5138" name="Rectangle 18">
          <a:extLst>
            <a:ext uri="{FF2B5EF4-FFF2-40B4-BE49-F238E27FC236}">
              <a16:creationId xmlns:a16="http://schemas.microsoft.com/office/drawing/2014/main" id="{00000000-0008-0000-0D00-000012140000}"/>
            </a:ext>
          </a:extLst>
        </xdr:cNvPr>
        <xdr:cNvSpPr>
          <a:spLocks noChangeArrowheads="1"/>
        </xdr:cNvSpPr>
      </xdr:nvSpPr>
      <xdr:spPr bwMode="auto">
        <a:xfrm>
          <a:off x="12814300" y="901700"/>
          <a:ext cx="16637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Trading Companies</a:t>
          </a:r>
        </a:p>
      </xdr:txBody>
    </xdr:sp>
    <xdr:clientData/>
  </xdr:twoCellAnchor>
  <xdr:twoCellAnchor>
    <xdr:from>
      <xdr:col>21</xdr:col>
      <xdr:colOff>115888</xdr:colOff>
      <xdr:row>2</xdr:row>
      <xdr:rowOff>107950</xdr:rowOff>
    </xdr:from>
    <xdr:to>
      <xdr:col>23</xdr:col>
      <xdr:colOff>376222</xdr:colOff>
      <xdr:row>4</xdr:row>
      <xdr:rowOff>38100</xdr:rowOff>
    </xdr:to>
    <xdr:sp macro="" textlink="">
      <xdr:nvSpPr>
        <xdr:cNvPr id="5139" name="Rectangle 19">
          <a:extLst>
            <a:ext uri="{FF2B5EF4-FFF2-40B4-BE49-F238E27FC236}">
              <a16:creationId xmlns:a16="http://schemas.microsoft.com/office/drawing/2014/main" id="{00000000-0008-0000-0D00-000013140000}"/>
            </a:ext>
          </a:extLst>
        </xdr:cNvPr>
        <xdr:cNvSpPr>
          <a:spLocks noChangeArrowheads="1"/>
        </xdr:cNvSpPr>
      </xdr:nvSpPr>
      <xdr:spPr bwMode="auto">
        <a:xfrm>
          <a:off x="14287500" y="419100"/>
          <a:ext cx="15748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ASIA</a:t>
          </a:r>
        </a:p>
      </xdr:txBody>
    </xdr:sp>
    <xdr:clientData/>
  </xdr:twoCellAnchor>
  <xdr:twoCellAnchor>
    <xdr:from>
      <xdr:col>11</xdr:col>
      <xdr:colOff>139700</xdr:colOff>
      <xdr:row>12</xdr:row>
      <xdr:rowOff>25400</xdr:rowOff>
    </xdr:from>
    <xdr:to>
      <xdr:col>20</xdr:col>
      <xdr:colOff>203200</xdr:colOff>
      <xdr:row>40</xdr:row>
      <xdr:rowOff>50800</xdr:rowOff>
    </xdr:to>
    <xdr:cxnSp macro="">
      <xdr:nvCxnSpPr>
        <xdr:cNvPr id="73334" name="AutoShape 20">
          <a:extLst>
            <a:ext uri="{FF2B5EF4-FFF2-40B4-BE49-F238E27FC236}">
              <a16:creationId xmlns:a16="http://schemas.microsoft.com/office/drawing/2014/main" id="{00000000-0008-0000-0D00-0000761E0100}"/>
            </a:ext>
          </a:extLst>
        </xdr:cNvPr>
        <xdr:cNvCxnSpPr>
          <a:cxnSpLocks noChangeShapeType="1"/>
          <a:stCxn id="5122" idx="3"/>
          <a:endCxn id="5138" idx="2"/>
        </xdr:cNvCxnSpPr>
      </xdr:nvCxnSpPr>
      <xdr:spPr bwMode="auto">
        <a:xfrm flipV="1">
          <a:off x="7543800" y="2006600"/>
          <a:ext cx="6121400" cy="4648200"/>
        </a:xfrm>
        <a:prstGeom prst="bentConnector2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207963</xdr:colOff>
      <xdr:row>41</xdr:row>
      <xdr:rowOff>6350</xdr:rowOff>
    </xdr:from>
    <xdr:to>
      <xdr:col>20</xdr:col>
      <xdr:colOff>506378</xdr:colOff>
      <xdr:row>43</xdr:row>
      <xdr:rowOff>152157</xdr:rowOff>
    </xdr:to>
    <xdr:sp macro="" textlink="">
      <xdr:nvSpPr>
        <xdr:cNvPr id="5141" name="Rectangle 21">
          <a:extLst>
            <a:ext uri="{FF2B5EF4-FFF2-40B4-BE49-F238E27FC236}">
              <a16:creationId xmlns:a16="http://schemas.microsoft.com/office/drawing/2014/main" id="{00000000-0008-0000-0D00-000015140000}"/>
            </a:ext>
          </a:extLst>
        </xdr:cNvPr>
        <xdr:cNvSpPr>
          <a:spLocks noChangeArrowheads="1"/>
        </xdr:cNvSpPr>
      </xdr:nvSpPr>
      <xdr:spPr bwMode="auto">
        <a:xfrm>
          <a:off x="11658600" y="6261100"/>
          <a:ext cx="23241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 &amp; shipment of recycled plastics </a:t>
          </a:r>
        </a:p>
      </xdr:txBody>
    </xdr:sp>
    <xdr:clientData/>
  </xdr:twoCellAnchor>
  <xdr:twoCellAnchor>
    <xdr:from>
      <xdr:col>10</xdr:col>
      <xdr:colOff>84138</xdr:colOff>
      <xdr:row>24</xdr:row>
      <xdr:rowOff>6350</xdr:rowOff>
    </xdr:from>
    <xdr:to>
      <xdr:col>13</xdr:col>
      <xdr:colOff>395358</xdr:colOff>
      <xdr:row>25</xdr:row>
      <xdr:rowOff>98041</xdr:rowOff>
    </xdr:to>
    <xdr:sp macro="" textlink="">
      <xdr:nvSpPr>
        <xdr:cNvPr id="5142" name="Rectangle 22">
          <a:extLst>
            <a:ext uri="{FF2B5EF4-FFF2-40B4-BE49-F238E27FC236}">
              <a16:creationId xmlns:a16="http://schemas.microsoft.com/office/drawing/2014/main" id="{00000000-0008-0000-0D00-000016140000}"/>
            </a:ext>
          </a:extLst>
        </xdr:cNvPr>
        <xdr:cNvSpPr>
          <a:spLocks noChangeArrowheads="1"/>
        </xdr:cNvSpPr>
      </xdr:nvSpPr>
      <xdr:spPr bwMode="auto">
        <a:xfrm>
          <a:off x="6832600" y="3670300"/>
          <a:ext cx="23241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Sale of recycled plastics</a:t>
          </a:r>
        </a:p>
      </xdr:txBody>
    </xdr:sp>
    <xdr:clientData/>
  </xdr:twoCellAnchor>
  <xdr:twoCellAnchor>
    <xdr:from>
      <xdr:col>9</xdr:col>
      <xdr:colOff>647700</xdr:colOff>
      <xdr:row>12</xdr:row>
      <xdr:rowOff>12700</xdr:rowOff>
    </xdr:from>
    <xdr:to>
      <xdr:col>9</xdr:col>
      <xdr:colOff>647700</xdr:colOff>
      <xdr:row>37</xdr:row>
      <xdr:rowOff>114300</xdr:rowOff>
    </xdr:to>
    <xdr:cxnSp macro="">
      <xdr:nvCxnSpPr>
        <xdr:cNvPr id="73337" name="AutoShape 23">
          <a:extLst>
            <a:ext uri="{FF2B5EF4-FFF2-40B4-BE49-F238E27FC236}">
              <a16:creationId xmlns:a16="http://schemas.microsoft.com/office/drawing/2014/main" id="{00000000-0008-0000-0D00-0000791E0100}"/>
            </a:ext>
          </a:extLst>
        </xdr:cNvPr>
        <xdr:cNvCxnSpPr>
          <a:cxnSpLocks noChangeShapeType="1"/>
          <a:stCxn id="5122" idx="0"/>
          <a:endCxn id="5123" idx="2"/>
        </xdr:cNvCxnSpPr>
      </xdr:nvCxnSpPr>
      <xdr:spPr bwMode="auto">
        <a:xfrm rot="-5400000">
          <a:off x="4591050" y="4108450"/>
          <a:ext cx="4229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395288</xdr:colOff>
      <xdr:row>11</xdr:row>
      <xdr:rowOff>107950</xdr:rowOff>
    </xdr:from>
    <xdr:to>
      <xdr:col>17</xdr:col>
      <xdr:colOff>31754</xdr:colOff>
      <xdr:row>13</xdr:row>
      <xdr:rowOff>38100</xdr:rowOff>
    </xdr:to>
    <xdr:sp macro="" textlink="">
      <xdr:nvSpPr>
        <xdr:cNvPr id="5144" name="Rectangle 24">
          <a:extLst>
            <a:ext uri="{FF2B5EF4-FFF2-40B4-BE49-F238E27FC236}">
              <a16:creationId xmlns:a16="http://schemas.microsoft.com/office/drawing/2014/main" id="{00000000-0008-0000-0D00-000018140000}"/>
            </a:ext>
          </a:extLst>
        </xdr:cNvPr>
        <xdr:cNvSpPr>
          <a:spLocks noChangeArrowheads="1"/>
        </xdr:cNvSpPr>
      </xdr:nvSpPr>
      <xdr:spPr bwMode="auto">
        <a:xfrm>
          <a:off x="9156700" y="1778000"/>
          <a:ext cx="232410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Sale of recycled plastics</a:t>
          </a:r>
        </a:p>
      </xdr:txBody>
    </xdr:sp>
    <xdr:clientData/>
  </xdr:twoCellAnchor>
  <xdr:twoCellAnchor>
    <xdr:from>
      <xdr:col>11</xdr:col>
      <xdr:colOff>139700</xdr:colOff>
      <xdr:row>9</xdr:row>
      <xdr:rowOff>0</xdr:rowOff>
    </xdr:from>
    <xdr:to>
      <xdr:col>19</xdr:col>
      <xdr:colOff>25400</xdr:colOff>
      <xdr:row>9</xdr:row>
      <xdr:rowOff>12700</xdr:rowOff>
    </xdr:to>
    <xdr:cxnSp macro="">
      <xdr:nvCxnSpPr>
        <xdr:cNvPr id="73339" name="AutoShape 25">
          <a:extLst>
            <a:ext uri="{FF2B5EF4-FFF2-40B4-BE49-F238E27FC236}">
              <a16:creationId xmlns:a16="http://schemas.microsoft.com/office/drawing/2014/main" id="{00000000-0008-0000-0D00-00007B1E0100}"/>
            </a:ext>
          </a:extLst>
        </xdr:cNvPr>
        <xdr:cNvCxnSpPr>
          <a:cxnSpLocks noChangeShapeType="1"/>
          <a:stCxn id="5123" idx="3"/>
          <a:endCxn id="5138" idx="1"/>
        </xdr:cNvCxnSpPr>
      </xdr:nvCxnSpPr>
      <xdr:spPr bwMode="auto">
        <a:xfrm>
          <a:off x="7543800" y="1485900"/>
          <a:ext cx="5270500" cy="12700"/>
        </a:xfrm>
        <a:prstGeom prst="bentConnector3">
          <a:avLst>
            <a:gd name="adj1" fmla="val 49898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647700</xdr:colOff>
      <xdr:row>5</xdr:row>
      <xdr:rowOff>139700</xdr:rowOff>
    </xdr:from>
    <xdr:to>
      <xdr:col>20</xdr:col>
      <xdr:colOff>203200</xdr:colOff>
      <xdr:row>5</xdr:row>
      <xdr:rowOff>152400</xdr:rowOff>
    </xdr:to>
    <xdr:cxnSp macro="">
      <xdr:nvCxnSpPr>
        <xdr:cNvPr id="73340" name="AutoShape 26">
          <a:extLst>
            <a:ext uri="{FF2B5EF4-FFF2-40B4-BE49-F238E27FC236}">
              <a16:creationId xmlns:a16="http://schemas.microsoft.com/office/drawing/2014/main" id="{00000000-0008-0000-0D00-00007C1E0100}"/>
            </a:ext>
          </a:extLst>
        </xdr:cNvPr>
        <xdr:cNvCxnSpPr>
          <a:cxnSpLocks noChangeShapeType="1"/>
          <a:stCxn id="5138" idx="0"/>
          <a:endCxn id="5123" idx="0"/>
        </xdr:cNvCxnSpPr>
      </xdr:nvCxnSpPr>
      <xdr:spPr bwMode="auto">
        <a:xfrm rot="5400000" flipH="1">
          <a:off x="10179050" y="-2508250"/>
          <a:ext cx="12700" cy="6959600"/>
        </a:xfrm>
        <a:prstGeom prst="bentConnector3">
          <a:avLst>
            <a:gd name="adj1" fmla="val 290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547688</xdr:colOff>
      <xdr:row>2</xdr:row>
      <xdr:rowOff>19050</xdr:rowOff>
    </xdr:from>
    <xdr:to>
      <xdr:col>16</xdr:col>
      <xdr:colOff>116209</xdr:colOff>
      <xdr:row>3</xdr:row>
      <xdr:rowOff>107950</xdr:rowOff>
    </xdr:to>
    <xdr:sp macro="" textlink="">
      <xdr:nvSpPr>
        <xdr:cNvPr id="5147" name="Rectangle 27">
          <a:extLst>
            <a:ext uri="{FF2B5EF4-FFF2-40B4-BE49-F238E27FC236}">
              <a16:creationId xmlns:a16="http://schemas.microsoft.com/office/drawing/2014/main" id="{00000000-0008-0000-0D00-00001B140000}"/>
            </a:ext>
          </a:extLst>
        </xdr:cNvPr>
        <xdr:cNvSpPr>
          <a:spLocks noChangeArrowheads="1"/>
        </xdr:cNvSpPr>
      </xdr:nvSpPr>
      <xdr:spPr bwMode="auto">
        <a:xfrm>
          <a:off x="9334500" y="3302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of sold plastics</a:t>
          </a:r>
        </a:p>
      </xdr:txBody>
    </xdr:sp>
    <xdr:clientData/>
  </xdr:twoCellAnchor>
  <xdr:twoCellAnchor>
    <xdr:from>
      <xdr:col>8</xdr:col>
      <xdr:colOff>469900</xdr:colOff>
      <xdr:row>9</xdr:row>
      <xdr:rowOff>0</xdr:rowOff>
    </xdr:from>
    <xdr:to>
      <xdr:col>8</xdr:col>
      <xdr:colOff>495300</xdr:colOff>
      <xdr:row>40</xdr:row>
      <xdr:rowOff>50800</xdr:rowOff>
    </xdr:to>
    <xdr:cxnSp macro="">
      <xdr:nvCxnSpPr>
        <xdr:cNvPr id="73342" name="AutoShape 28">
          <a:extLst>
            <a:ext uri="{FF2B5EF4-FFF2-40B4-BE49-F238E27FC236}">
              <a16:creationId xmlns:a16="http://schemas.microsoft.com/office/drawing/2014/main" id="{00000000-0008-0000-0D00-00007E1E0100}"/>
            </a:ext>
          </a:extLst>
        </xdr:cNvPr>
        <xdr:cNvCxnSpPr>
          <a:cxnSpLocks noChangeShapeType="1"/>
          <a:stCxn id="5123" idx="1"/>
          <a:endCxn id="5122" idx="1"/>
        </xdr:cNvCxnSpPr>
      </xdr:nvCxnSpPr>
      <xdr:spPr bwMode="auto">
        <a:xfrm rot="10800000" flipH="1" flipV="1">
          <a:off x="5854700" y="1485900"/>
          <a:ext cx="25400" cy="5168900"/>
        </a:xfrm>
        <a:prstGeom prst="bentConnector3">
          <a:avLst>
            <a:gd name="adj1" fmla="val -240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30</xdr:row>
      <xdr:rowOff>92075</xdr:rowOff>
    </xdr:from>
    <xdr:to>
      <xdr:col>8</xdr:col>
      <xdr:colOff>149455</xdr:colOff>
      <xdr:row>32</xdr:row>
      <xdr:rowOff>6789</xdr:rowOff>
    </xdr:to>
    <xdr:sp macro="" textlink="">
      <xdr:nvSpPr>
        <xdr:cNvPr id="5149" name="Rectangle 29">
          <a:extLst>
            <a:ext uri="{FF2B5EF4-FFF2-40B4-BE49-F238E27FC236}">
              <a16:creationId xmlns:a16="http://schemas.microsoft.com/office/drawing/2014/main" id="{00000000-0008-0000-0D00-00001D140000}"/>
            </a:ext>
          </a:extLst>
        </xdr:cNvPr>
        <xdr:cNvSpPr>
          <a:spLocks noChangeArrowheads="1"/>
        </xdr:cNvSpPr>
      </xdr:nvSpPr>
      <xdr:spPr bwMode="auto">
        <a:xfrm>
          <a:off x="3975100" y="4660900"/>
          <a:ext cx="157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of sold plastics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905042</xdr:colOff>
      <xdr:row>5</xdr:row>
      <xdr:rowOff>22882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977270</xdr:colOff>
      <xdr:row>4</xdr:row>
      <xdr:rowOff>21407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1570" cy="6818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396875</xdr:colOff>
      <xdr:row>5</xdr:row>
      <xdr:rowOff>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519257</xdr:colOff>
      <xdr:row>5</xdr:row>
      <xdr:rowOff>31237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127000</xdr:colOff>
      <xdr:row>5</xdr:row>
      <xdr:rowOff>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788194</xdr:colOff>
      <xdr:row>4</xdr:row>
      <xdr:rowOff>126487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1825978</xdr:colOff>
      <xdr:row>4</xdr:row>
      <xdr:rowOff>62987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850900</xdr:colOff>
      <xdr:row>4</xdr:row>
      <xdr:rowOff>164587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5</xdr:row>
      <xdr:rowOff>2662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94200" cy="824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LIENTS/P/Peak/Valn/COMPT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(capex)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a" id="{2BC6C69D-85BB-4E8D-8A08-CBC1A5D0E384}" userId="Be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B4:D15"/>
  <sheetViews>
    <sheetView showGridLines="0" workbookViewId="0">
      <selection activeCell="B12" sqref="B12"/>
    </sheetView>
  </sheetViews>
  <sheetFormatPr baseColWidth="10" defaultColWidth="8.83203125" defaultRowHeight="13" x14ac:dyDescent="0.15"/>
  <cols>
    <col min="1" max="1" width="2" customWidth="1"/>
    <col min="2" max="2" width="7.33203125" customWidth="1"/>
    <col min="3" max="3" width="14.33203125" bestFit="1" customWidth="1"/>
    <col min="4" max="4" width="14" bestFit="1" customWidth="1"/>
    <col min="5" max="5" width="13.33203125" bestFit="1" customWidth="1"/>
    <col min="6" max="7" width="14" bestFit="1" customWidth="1"/>
  </cols>
  <sheetData>
    <row r="4" spans="2:4" s="125" customFormat="1" ht="30" x14ac:dyDescent="0.3">
      <c r="B4" s="126"/>
    </row>
    <row r="7" spans="2:4" ht="30" x14ac:dyDescent="0.3">
      <c r="B7" s="126" t="s">
        <v>144</v>
      </c>
    </row>
    <row r="8" spans="2:4" ht="9" customHeight="1" x14ac:dyDescent="0.15"/>
    <row r="9" spans="2:4" ht="16" x14ac:dyDescent="0.2">
      <c r="B9" s="130" t="s">
        <v>167</v>
      </c>
    </row>
    <row r="11" spans="2:4" ht="16" x14ac:dyDescent="0.2">
      <c r="B11" s="427">
        <v>43483</v>
      </c>
      <c r="C11" s="427"/>
      <c r="D11" s="427"/>
    </row>
    <row r="13" spans="2:4" x14ac:dyDescent="0.15">
      <c r="C13" s="69"/>
    </row>
    <row r="15" spans="2:4" x14ac:dyDescent="0.15">
      <c r="C15" s="113"/>
    </row>
  </sheetData>
  <mergeCells count="1">
    <mergeCell ref="B11:D11"/>
  </mergeCells>
  <phoneticPr fontId="5" type="noConversion"/>
  <pageMargins left="0.59055118110236227" right="0.78740157480314965" top="0.74803149606299213" bottom="0.98425196850393704" header="0.51181102362204722" footer="0.51181102362204722"/>
  <pageSetup paperSize="9" scale="78" fitToHeight="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14"/>
  </sheetPr>
  <dimension ref="B3:J40"/>
  <sheetViews>
    <sheetView topLeftCell="A7" workbookViewId="0">
      <selection activeCell="J40" sqref="J40"/>
    </sheetView>
  </sheetViews>
  <sheetFormatPr baseColWidth="10" defaultColWidth="8.83203125" defaultRowHeight="13" x14ac:dyDescent="0.15"/>
  <cols>
    <col min="2" max="2" width="42.33203125" customWidth="1"/>
    <col min="3" max="3" width="7.83203125" bestFit="1" customWidth="1"/>
    <col min="4" max="4" width="10.33203125" bestFit="1" customWidth="1"/>
    <col min="5" max="7" width="8.6640625" bestFit="1" customWidth="1"/>
    <col min="8" max="8" width="10.33203125" bestFit="1" customWidth="1"/>
    <col min="10" max="10" width="11.33203125" bestFit="1" customWidth="1"/>
  </cols>
  <sheetData>
    <row r="3" spans="2:8" ht="16" x14ac:dyDescent="0.2">
      <c r="B3" s="102" t="s">
        <v>2</v>
      </c>
    </row>
    <row r="5" spans="2:8" x14ac:dyDescent="0.15">
      <c r="C5" s="70" t="s">
        <v>22</v>
      </c>
      <c r="D5" s="70" t="s">
        <v>23</v>
      </c>
      <c r="E5" s="70" t="s">
        <v>24</v>
      </c>
      <c r="F5" s="70" t="s">
        <v>25</v>
      </c>
      <c r="G5" s="70" t="s">
        <v>26</v>
      </c>
      <c r="H5" s="76" t="s">
        <v>18</v>
      </c>
    </row>
    <row r="6" spans="2:8" x14ac:dyDescent="0.15">
      <c r="C6" s="6">
        <v>11955</v>
      </c>
      <c r="D6" s="6">
        <v>10950</v>
      </c>
      <c r="E6" s="6">
        <v>17250</v>
      </c>
      <c r="F6" s="6">
        <v>2300</v>
      </c>
      <c r="G6" s="6">
        <v>10055</v>
      </c>
      <c r="H6" s="20">
        <f>SUM(C6:G6)</f>
        <v>52510</v>
      </c>
    </row>
    <row r="7" spans="2:8" x14ac:dyDescent="0.15">
      <c r="C7" s="6">
        <v>9200</v>
      </c>
      <c r="D7" s="6">
        <v>29115</v>
      </c>
      <c r="E7" s="6">
        <v>54680</v>
      </c>
      <c r="F7" s="6">
        <v>18535</v>
      </c>
      <c r="G7" s="6">
        <v>7145</v>
      </c>
      <c r="H7" s="20">
        <f>SUM(C7:G7)</f>
        <v>118675</v>
      </c>
    </row>
    <row r="8" spans="2:8" x14ac:dyDescent="0.15">
      <c r="C8" s="6"/>
      <c r="D8" s="6">
        <v>32770</v>
      </c>
      <c r="E8" s="6">
        <v>82300</v>
      </c>
      <c r="F8" s="6">
        <v>11570</v>
      </c>
      <c r="G8" s="6">
        <v>9140</v>
      </c>
      <c r="H8" s="20">
        <f>SUM(C8:G8)</f>
        <v>135780</v>
      </c>
    </row>
    <row r="9" spans="2:8" x14ac:dyDescent="0.15">
      <c r="C9" s="24">
        <v>10000</v>
      </c>
      <c r="D9" s="24">
        <v>3000</v>
      </c>
      <c r="E9" s="24">
        <v>2500</v>
      </c>
      <c r="F9" s="24">
        <v>17500</v>
      </c>
      <c r="G9" s="24">
        <v>9250</v>
      </c>
      <c r="H9" s="34">
        <f>SUM(C9:G9)</f>
        <v>42250</v>
      </c>
    </row>
    <row r="10" spans="2:8" x14ac:dyDescent="0.15">
      <c r="C10" s="77"/>
      <c r="D10" s="77"/>
      <c r="E10" s="77">
        <v>12500</v>
      </c>
      <c r="F10" s="77"/>
      <c r="G10" s="77"/>
      <c r="H10" s="80">
        <f>SUM(C10:G10)</f>
        <v>12500</v>
      </c>
    </row>
    <row r="11" spans="2:8" x14ac:dyDescent="0.15">
      <c r="C11" s="6">
        <f t="shared" ref="C11:H11" si="0">SUM(C6:C10)</f>
        <v>31155</v>
      </c>
      <c r="D11" s="6">
        <f t="shared" si="0"/>
        <v>75835</v>
      </c>
      <c r="E11" s="6">
        <f t="shared" si="0"/>
        <v>169230</v>
      </c>
      <c r="F11" s="6">
        <f t="shared" si="0"/>
        <v>49905</v>
      </c>
      <c r="G11" s="6">
        <f t="shared" si="0"/>
        <v>35590</v>
      </c>
      <c r="H11" s="20">
        <f t="shared" si="0"/>
        <v>361715</v>
      </c>
    </row>
    <row r="12" spans="2:8" x14ac:dyDescent="0.15">
      <c r="C12" s="6"/>
      <c r="D12" s="6"/>
      <c r="E12" s="6"/>
      <c r="F12" s="6"/>
      <c r="G12" s="6"/>
      <c r="H12" s="20"/>
    </row>
    <row r="13" spans="2:8" x14ac:dyDescent="0.15">
      <c r="C13" s="6"/>
      <c r="D13" s="6">
        <v>1008000</v>
      </c>
      <c r="E13" s="6">
        <v>40000</v>
      </c>
      <c r="F13" s="6">
        <v>75000</v>
      </c>
      <c r="G13" s="6"/>
      <c r="H13" s="20">
        <f>SUM(C13:G13)</f>
        <v>1123000</v>
      </c>
    </row>
    <row r="14" spans="2:8" x14ac:dyDescent="0.15">
      <c r="C14" s="6"/>
      <c r="D14" s="6"/>
      <c r="E14" s="6"/>
      <c r="F14" s="6"/>
      <c r="G14" s="6"/>
      <c r="H14" s="20"/>
    </row>
    <row r="15" spans="2:8" x14ac:dyDescent="0.15">
      <c r="C15" s="6"/>
      <c r="D15" s="6"/>
      <c r="E15" s="6"/>
      <c r="F15" s="6"/>
      <c r="G15" s="6"/>
      <c r="H15" s="20"/>
    </row>
    <row r="16" spans="2:8" x14ac:dyDescent="0.15">
      <c r="C16" s="6"/>
      <c r="D16" s="6"/>
      <c r="E16" s="6"/>
      <c r="F16" s="6"/>
      <c r="G16" s="6"/>
      <c r="H16" s="20"/>
    </row>
    <row r="17" spans="2:8" ht="14" thickBot="1" x14ac:dyDescent="0.2">
      <c r="C17" s="78">
        <f t="shared" ref="C17:H17" si="1">C11+C13</f>
        <v>31155</v>
      </c>
      <c r="D17" s="78">
        <f t="shared" si="1"/>
        <v>1083835</v>
      </c>
      <c r="E17" s="78">
        <f t="shared" si="1"/>
        <v>209230</v>
      </c>
      <c r="F17" s="78">
        <f t="shared" si="1"/>
        <v>124905</v>
      </c>
      <c r="G17" s="78">
        <f t="shared" si="1"/>
        <v>35590</v>
      </c>
      <c r="H17" s="39">
        <f t="shared" si="1"/>
        <v>1484715</v>
      </c>
    </row>
    <row r="18" spans="2:8" ht="14" thickTop="1" x14ac:dyDescent="0.15">
      <c r="C18" s="6"/>
      <c r="D18" s="6"/>
      <c r="E18" s="6"/>
      <c r="F18" s="6"/>
      <c r="G18" s="6"/>
      <c r="H18" s="20"/>
    </row>
    <row r="19" spans="2:8" x14ac:dyDescent="0.15">
      <c r="H19" s="1"/>
    </row>
    <row r="20" spans="2:8" x14ac:dyDescent="0.15">
      <c r="C20" s="7">
        <f>C11*0.5</f>
        <v>15577.5</v>
      </c>
      <c r="D20" s="7">
        <f>D11*0.5</f>
        <v>37917.5</v>
      </c>
      <c r="E20" s="7">
        <f>E11*0.5</f>
        <v>84615</v>
      </c>
      <c r="F20" s="7">
        <f>F11*0.5</f>
        <v>24952.5</v>
      </c>
      <c r="G20" s="7">
        <f>G11*0.5</f>
        <v>17795</v>
      </c>
      <c r="H20" s="20">
        <f>SUM(C20:G20)</f>
        <v>180857.5</v>
      </c>
    </row>
    <row r="21" spans="2:8" x14ac:dyDescent="0.15">
      <c r="C21" s="7">
        <f>C13*0.5</f>
        <v>0</v>
      </c>
      <c r="D21" s="7">
        <f>D13*0.5</f>
        <v>504000</v>
      </c>
      <c r="E21" s="7">
        <f>E13*0.5</f>
        <v>20000</v>
      </c>
      <c r="F21" s="7">
        <f>F13*0.5</f>
        <v>37500</v>
      </c>
      <c r="G21" s="7">
        <f>G13*0.5</f>
        <v>0</v>
      </c>
      <c r="H21" s="20">
        <f>SUM(C21:G21)</f>
        <v>561500</v>
      </c>
    </row>
    <row r="22" spans="2:8" x14ac:dyDescent="0.15">
      <c r="C22" s="7"/>
      <c r="D22" s="7"/>
      <c r="E22" s="7"/>
      <c r="F22" s="7"/>
      <c r="G22" s="7"/>
      <c r="H22" s="1"/>
    </row>
    <row r="23" spans="2:8" ht="14" thickBot="1" x14ac:dyDescent="0.2">
      <c r="C23" s="79">
        <f t="shared" ref="C23:H23" si="2">SUM(C20:C21)</f>
        <v>15577.5</v>
      </c>
      <c r="D23" s="79">
        <f t="shared" si="2"/>
        <v>541917.5</v>
      </c>
      <c r="E23" s="79">
        <f t="shared" si="2"/>
        <v>104615</v>
      </c>
      <c r="F23" s="79">
        <f t="shared" si="2"/>
        <v>62452.5</v>
      </c>
      <c r="G23" s="79">
        <f t="shared" si="2"/>
        <v>17795</v>
      </c>
      <c r="H23" s="19">
        <f t="shared" si="2"/>
        <v>742357.5</v>
      </c>
    </row>
    <row r="24" spans="2:8" ht="14" thickTop="1" x14ac:dyDescent="0.15"/>
    <row r="26" spans="2:8" x14ac:dyDescent="0.15">
      <c r="C26" s="7">
        <f>C20</f>
        <v>15577.5</v>
      </c>
      <c r="D26" s="7">
        <f>D20</f>
        <v>37917.5</v>
      </c>
      <c r="E26" s="7">
        <f>E20</f>
        <v>84615</v>
      </c>
      <c r="F26" s="7">
        <f>F20</f>
        <v>24952.5</v>
      </c>
      <c r="G26" s="7">
        <f>G20</f>
        <v>17795</v>
      </c>
      <c r="H26" s="7">
        <f>SUM(C26:G26)</f>
        <v>180857.5</v>
      </c>
    </row>
    <row r="27" spans="2:8" x14ac:dyDescent="0.15">
      <c r="B27" t="s">
        <v>27</v>
      </c>
      <c r="D27" s="7"/>
      <c r="H27" s="7">
        <f>SUM(C27:G27)</f>
        <v>0</v>
      </c>
    </row>
    <row r="28" spans="2:8" ht="14" thickBot="1" x14ac:dyDescent="0.2">
      <c r="B28" t="s">
        <v>3</v>
      </c>
      <c r="C28" s="81">
        <f>SUM(C26:C27)</f>
        <v>15577.5</v>
      </c>
      <c r="D28" s="81">
        <f>SUM(D26:D27)</f>
        <v>37917.5</v>
      </c>
      <c r="E28" s="81">
        <f>SUM(E26:E27)</f>
        <v>84615</v>
      </c>
      <c r="F28" s="81">
        <f>SUM(F26:F27)</f>
        <v>24952.5</v>
      </c>
      <c r="G28" s="81">
        <f>SUM(G26:G27)</f>
        <v>17795</v>
      </c>
      <c r="H28" s="84">
        <f>SUM(C28:G28)</f>
        <v>180857.5</v>
      </c>
    </row>
    <row r="29" spans="2:8" ht="14" thickTop="1" x14ac:dyDescent="0.15"/>
    <row r="31" spans="2:8" ht="14" thickBot="1" x14ac:dyDescent="0.2">
      <c r="C31" s="82">
        <f>C21</f>
        <v>0</v>
      </c>
      <c r="D31" s="82">
        <f>D21</f>
        <v>504000</v>
      </c>
      <c r="E31" s="82">
        <f>E21</f>
        <v>20000</v>
      </c>
      <c r="F31" s="82">
        <f>F21</f>
        <v>37500</v>
      </c>
      <c r="G31" s="82">
        <f>G21</f>
        <v>0</v>
      </c>
      <c r="H31" s="19">
        <f>SUM(C31:G31)</f>
        <v>561500</v>
      </c>
    </row>
    <row r="32" spans="2:8" ht="14" thickTop="1" x14ac:dyDescent="0.15">
      <c r="B32" t="s">
        <v>4</v>
      </c>
      <c r="D32" s="6"/>
    </row>
    <row r="33" spans="2:10" x14ac:dyDescent="0.15">
      <c r="B33" t="s">
        <v>5</v>
      </c>
    </row>
    <row r="34" spans="2:10" ht="14" thickBot="1" x14ac:dyDescent="0.2">
      <c r="B34" t="s">
        <v>1</v>
      </c>
      <c r="C34" s="81">
        <f>SUM(C31:C33)</f>
        <v>0</v>
      </c>
      <c r="D34" s="81">
        <f>SUM(D31:D32)</f>
        <v>504000</v>
      </c>
      <c r="E34" s="81">
        <f>SUM(E31:E33)</f>
        <v>20000</v>
      </c>
      <c r="F34" s="81">
        <f>SUM(F31:F33)</f>
        <v>37500</v>
      </c>
      <c r="G34" s="81">
        <f>SUM(G31:G33)</f>
        <v>0</v>
      </c>
      <c r="H34" s="84">
        <f>SUM(C34:G34)</f>
        <v>561500</v>
      </c>
    </row>
    <row r="35" spans="2:10" ht="14" thickTop="1" x14ac:dyDescent="0.15"/>
    <row r="36" spans="2:10" ht="14" thickBot="1" x14ac:dyDescent="0.2">
      <c r="B36" s="1" t="s">
        <v>6</v>
      </c>
      <c r="C36" s="7">
        <v>15577</v>
      </c>
      <c r="D36" s="7">
        <v>441117</v>
      </c>
      <c r="E36" s="7">
        <v>100615</v>
      </c>
      <c r="F36" s="7">
        <v>54953</v>
      </c>
      <c r="G36" s="7">
        <v>130095</v>
      </c>
      <c r="J36" s="83">
        <f>H34+H28</f>
        <v>742357.5</v>
      </c>
    </row>
    <row r="37" spans="2:10" ht="14" thickTop="1" x14ac:dyDescent="0.15"/>
    <row r="38" spans="2:10" x14ac:dyDescent="0.15">
      <c r="J38" s="6">
        <v>-42358</v>
      </c>
    </row>
    <row r="40" spans="2:10" x14ac:dyDescent="0.15">
      <c r="B40" t="s">
        <v>37</v>
      </c>
      <c r="J40" s="6">
        <v>700000</v>
      </c>
    </row>
  </sheetData>
  <phoneticPr fontId="5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C3"/>
  <sheetViews>
    <sheetView topLeftCell="F16" workbookViewId="0">
      <selection activeCell="I67" sqref="I67"/>
    </sheetView>
  </sheetViews>
  <sheetFormatPr baseColWidth="10" defaultColWidth="8.83203125" defaultRowHeight="13" x14ac:dyDescent="0.15"/>
  <sheetData>
    <row r="3" spans="3:3" ht="18" x14ac:dyDescent="0.2">
      <c r="C3" s="12" t="s">
        <v>17</v>
      </c>
    </row>
  </sheetData>
  <phoneticPr fontId="5" type="noConversion"/>
  <pageMargins left="0.37" right="0.21" top="0.46" bottom="1" header="0.36" footer="0.5"/>
  <pageSetup paperSize="9" scale="64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"/>
  <sheetViews>
    <sheetView topLeftCell="F1" workbookViewId="0">
      <selection activeCell="E27" sqref="E27"/>
    </sheetView>
  </sheetViews>
  <sheetFormatPr baseColWidth="10" defaultColWidth="8.83203125" defaultRowHeight="13" x14ac:dyDescent="0.15"/>
  <sheetData/>
  <phoneticPr fontId="5" type="noConversion"/>
  <pageMargins left="0.75" right="0.75" top="0.72" bottom="0.71" header="0.5" footer="0.5"/>
  <pageSetup paperSize="9" scale="5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B2:Q14"/>
  <sheetViews>
    <sheetView workbookViewId="0">
      <selection activeCell="N13" sqref="N13:Q13"/>
    </sheetView>
  </sheetViews>
  <sheetFormatPr baseColWidth="10" defaultColWidth="8.83203125" defaultRowHeight="13" x14ac:dyDescent="0.15"/>
  <cols>
    <col min="1" max="1" width="3.33203125" customWidth="1"/>
    <col min="2" max="2" width="23.33203125" customWidth="1"/>
    <col min="3" max="3" width="12.33203125" customWidth="1"/>
    <col min="4" max="7" width="11.83203125" bestFit="1" customWidth="1"/>
    <col min="8" max="8" width="9.83203125" customWidth="1"/>
    <col min="9" max="9" width="10.33203125" bestFit="1" customWidth="1"/>
    <col min="10" max="10" width="10.83203125" customWidth="1"/>
    <col min="12" max="12" width="20" customWidth="1"/>
  </cols>
  <sheetData>
    <row r="2" spans="2:17" ht="18" x14ac:dyDescent="0.2">
      <c r="B2" s="12" t="s">
        <v>16</v>
      </c>
    </row>
    <row r="5" spans="2:17" x14ac:dyDescent="0.15">
      <c r="B5" s="1" t="s">
        <v>13</v>
      </c>
      <c r="C5" s="1" t="s">
        <v>12</v>
      </c>
      <c r="D5" s="5">
        <v>2006</v>
      </c>
      <c r="E5" s="5">
        <v>2007</v>
      </c>
      <c r="F5" s="5">
        <v>2008</v>
      </c>
      <c r="G5" s="5">
        <v>2009</v>
      </c>
      <c r="H5" s="5">
        <v>2010</v>
      </c>
      <c r="I5" s="5"/>
      <c r="J5" s="5"/>
      <c r="L5" s="1" t="s">
        <v>7</v>
      </c>
      <c r="M5" s="5">
        <v>2006</v>
      </c>
      <c r="N5" s="5">
        <v>2007</v>
      </c>
      <c r="O5" s="5">
        <v>2008</v>
      </c>
      <c r="P5" s="5">
        <v>2009</v>
      </c>
      <c r="Q5" s="5">
        <v>2010</v>
      </c>
    </row>
    <row r="8" spans="2:17" x14ac:dyDescent="0.15">
      <c r="B8" t="s">
        <v>10</v>
      </c>
      <c r="C8" s="10">
        <v>10</v>
      </c>
      <c r="D8" s="2">
        <v>60000</v>
      </c>
      <c r="E8" s="2"/>
      <c r="F8" s="2"/>
      <c r="G8" s="2"/>
      <c r="H8" s="2"/>
      <c r="I8" s="3">
        <f>SUM(D8:H8)</f>
        <v>60000</v>
      </c>
      <c r="L8" t="s">
        <v>10</v>
      </c>
      <c r="M8" s="8"/>
      <c r="N8" s="8">
        <f t="shared" ref="N8:Q9" si="0">$D8/$C8</f>
        <v>6000</v>
      </c>
      <c r="O8" s="8">
        <f t="shared" si="0"/>
        <v>6000</v>
      </c>
      <c r="P8" s="8">
        <f t="shared" si="0"/>
        <v>6000</v>
      </c>
      <c r="Q8" s="8">
        <f t="shared" si="0"/>
        <v>6000</v>
      </c>
    </row>
    <row r="9" spans="2:17" x14ac:dyDescent="0.15">
      <c r="B9" t="s">
        <v>11</v>
      </c>
      <c r="C9" s="10">
        <v>8</v>
      </c>
      <c r="D9" s="2">
        <v>25000</v>
      </c>
      <c r="E9" s="2">
        <v>25000</v>
      </c>
      <c r="F9" s="2">
        <v>50000</v>
      </c>
      <c r="G9" s="2">
        <v>50000</v>
      </c>
      <c r="H9" s="2"/>
      <c r="I9" s="3">
        <f>SUM(D9:H9)</f>
        <v>150000</v>
      </c>
      <c r="L9" t="s">
        <v>11</v>
      </c>
      <c r="M9" s="8"/>
      <c r="N9" s="8">
        <f t="shared" si="0"/>
        <v>3125</v>
      </c>
      <c r="O9" s="8">
        <f t="shared" si="0"/>
        <v>3125</v>
      </c>
      <c r="P9" s="8">
        <f t="shared" si="0"/>
        <v>3125</v>
      </c>
      <c r="Q9" s="8">
        <f t="shared" si="0"/>
        <v>3125</v>
      </c>
    </row>
    <row r="10" spans="2:17" x14ac:dyDescent="0.15">
      <c r="B10" t="s">
        <v>15</v>
      </c>
      <c r="C10" s="10"/>
      <c r="D10" s="2"/>
      <c r="E10" s="2"/>
      <c r="F10" s="2"/>
      <c r="G10" s="2"/>
      <c r="H10" s="2"/>
      <c r="I10" s="3"/>
      <c r="M10" s="8"/>
      <c r="N10" s="8"/>
      <c r="O10" s="8"/>
      <c r="P10" s="8"/>
      <c r="Q10" s="8"/>
    </row>
    <row r="11" spans="2:17" x14ac:dyDescent="0.15">
      <c r="C11" s="10"/>
      <c r="D11" s="2"/>
      <c r="E11" s="2"/>
      <c r="F11" s="2"/>
      <c r="G11" s="2"/>
      <c r="H11" s="2"/>
      <c r="I11" s="3"/>
      <c r="M11" s="8"/>
      <c r="N11" s="8"/>
      <c r="O11" s="8"/>
      <c r="P11" s="8"/>
      <c r="Q11" s="8"/>
    </row>
    <row r="12" spans="2:17" x14ac:dyDescent="0.15">
      <c r="D12" s="6"/>
      <c r="I12" s="1"/>
    </row>
    <row r="13" spans="2:17" ht="14" thickBot="1" x14ac:dyDescent="0.2">
      <c r="B13" s="1" t="s">
        <v>14</v>
      </c>
      <c r="D13" s="9">
        <f t="shared" ref="D13:I13" si="1">SUM(D8:D12)</f>
        <v>85000</v>
      </c>
      <c r="E13" s="9">
        <f t="shared" si="1"/>
        <v>25000</v>
      </c>
      <c r="F13" s="9">
        <f t="shared" si="1"/>
        <v>50000</v>
      </c>
      <c r="G13" s="9">
        <f t="shared" si="1"/>
        <v>50000</v>
      </c>
      <c r="H13" s="9">
        <f t="shared" si="1"/>
        <v>0</v>
      </c>
      <c r="I13" s="9">
        <f t="shared" si="1"/>
        <v>210000</v>
      </c>
      <c r="M13" s="8"/>
      <c r="N13" s="8">
        <f>SUM(N8:N12)</f>
        <v>9125</v>
      </c>
      <c r="O13" s="8">
        <f>SUM(O8:O12)</f>
        <v>9125</v>
      </c>
      <c r="P13" s="8">
        <f>SUM(P8:P12)</f>
        <v>9125</v>
      </c>
      <c r="Q13" s="8">
        <f>SUM(Q8:Q12)</f>
        <v>9125</v>
      </c>
    </row>
    <row r="14" spans="2:17" ht="14" thickTop="1" x14ac:dyDescent="0.15"/>
  </sheetData>
  <phoneticPr fontId="5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tabColor rgb="FFFFFF00"/>
    <pageSetUpPr fitToPage="1"/>
  </sheetPr>
  <dimension ref="A8:N106"/>
  <sheetViews>
    <sheetView showGridLines="0" topLeftCell="A74" zoomScale="95" workbookViewId="0">
      <selection activeCell="I91" sqref="A1:I91"/>
    </sheetView>
  </sheetViews>
  <sheetFormatPr baseColWidth="10" defaultColWidth="8.83203125" defaultRowHeight="13" x14ac:dyDescent="0.15"/>
  <cols>
    <col min="2" max="2" width="37" bestFit="1" customWidth="1"/>
    <col min="3" max="3" width="16.5" customWidth="1"/>
    <col min="4" max="5" width="15" customWidth="1"/>
    <col min="6" max="6" width="16.33203125" customWidth="1"/>
    <col min="7" max="8" width="12" customWidth="1"/>
    <col min="9" max="9" width="15.6640625" bestFit="1" customWidth="1"/>
    <col min="10" max="10" width="25.1640625" bestFit="1" customWidth="1"/>
    <col min="11" max="11" width="14.6640625" customWidth="1"/>
    <col min="12" max="12" width="12" customWidth="1"/>
    <col min="13" max="13" width="13.5" bestFit="1" customWidth="1"/>
    <col min="14" max="14" width="12" customWidth="1"/>
  </cols>
  <sheetData>
    <row r="8" spans="1:9" s="11" customFormat="1" x14ac:dyDescent="0.15"/>
    <row r="9" spans="1:9" ht="20" x14ac:dyDescent="0.2">
      <c r="A9" s="124" t="s">
        <v>118</v>
      </c>
    </row>
    <row r="10" spans="1:9" ht="20" x14ac:dyDescent="0.2">
      <c r="A10" s="124"/>
    </row>
    <row r="12" spans="1:9" x14ac:dyDescent="0.15">
      <c r="C12" s="253"/>
    </row>
    <row r="13" spans="1:9" ht="16" x14ac:dyDescent="0.2">
      <c r="B13" s="261" t="s">
        <v>287</v>
      </c>
      <c r="C13" s="262"/>
      <c r="D13" s="262"/>
      <c r="E13" s="262"/>
      <c r="F13" s="262"/>
      <c r="G13" s="262"/>
      <c r="H13" s="262"/>
      <c r="I13" s="262"/>
    </row>
    <row r="15" spans="1:9" ht="16" x14ac:dyDescent="0.2">
      <c r="B15" s="282" t="s">
        <v>160</v>
      </c>
      <c r="C15" s="283" t="s">
        <v>161</v>
      </c>
      <c r="D15" s="283" t="s">
        <v>162</v>
      </c>
      <c r="E15" s="283" t="s">
        <v>163</v>
      </c>
      <c r="F15" s="284" t="s">
        <v>164</v>
      </c>
      <c r="G15" s="262"/>
      <c r="H15" s="285" t="s">
        <v>162</v>
      </c>
      <c r="I15" s="263">
        <v>1.6299999999999999E-2</v>
      </c>
    </row>
    <row r="16" spans="1:9" ht="16" x14ac:dyDescent="0.2">
      <c r="B16" s="264">
        <v>2019</v>
      </c>
      <c r="C16" s="265">
        <f>I16</f>
        <v>15000</v>
      </c>
      <c r="D16" s="290">
        <f>C16*$I$15</f>
        <v>244.49999999999997</v>
      </c>
      <c r="E16" s="266">
        <f>F16-D16</f>
        <v>7439.3691414968034</v>
      </c>
      <c r="F16" s="267">
        <f>I18</f>
        <v>7683.8691414968034</v>
      </c>
      <c r="G16" s="262"/>
      <c r="H16" s="286" t="s">
        <v>158</v>
      </c>
      <c r="I16" s="268">
        <v>15000</v>
      </c>
    </row>
    <row r="17" spans="2:11" ht="16" x14ac:dyDescent="0.2">
      <c r="B17" s="269">
        <v>2020</v>
      </c>
      <c r="C17" s="270">
        <f>C16-E16</f>
        <v>7560.6308585031966</v>
      </c>
      <c r="D17" s="289">
        <f>C17*$I$15</f>
        <v>123.2382829936021</v>
      </c>
      <c r="E17" s="271">
        <f>F17-D17</f>
        <v>7560.6308585032011</v>
      </c>
      <c r="F17" s="272">
        <f>I18</f>
        <v>7683.8691414968034</v>
      </c>
      <c r="G17" s="262"/>
      <c r="H17" s="287" t="s">
        <v>165</v>
      </c>
      <c r="I17" s="273">
        <v>2</v>
      </c>
    </row>
    <row r="18" spans="2:11" ht="16" x14ac:dyDescent="0.2">
      <c r="B18" s="269"/>
      <c r="C18" s="270">
        <f>C17-E17</f>
        <v>0</v>
      </c>
      <c r="D18" s="289"/>
      <c r="E18" s="271"/>
      <c r="F18" s="272"/>
      <c r="G18" s="262"/>
      <c r="H18" s="282" t="s">
        <v>164</v>
      </c>
      <c r="I18" s="274">
        <f>-PMT(I15,I17,I16)</f>
        <v>7683.8691414968034</v>
      </c>
    </row>
    <row r="19" spans="2:11" ht="16" x14ac:dyDescent="0.2">
      <c r="B19" s="269"/>
      <c r="C19" s="270"/>
      <c r="D19" s="289"/>
      <c r="E19" s="271"/>
      <c r="F19" s="272"/>
      <c r="G19" s="262"/>
      <c r="H19" s="282" t="s">
        <v>166</v>
      </c>
      <c r="I19" s="288">
        <f>I18/212</f>
        <v>36.244665761777377</v>
      </c>
    </row>
    <row r="20" spans="2:11" ht="16" x14ac:dyDescent="0.2">
      <c r="B20" s="269"/>
      <c r="C20" s="270"/>
      <c r="D20" s="289"/>
      <c r="E20" s="271"/>
      <c r="F20" s="272"/>
      <c r="G20" s="262"/>
      <c r="H20" s="395" t="s">
        <v>285</v>
      </c>
      <c r="I20" s="288">
        <f>D21/I17</f>
        <v>183.86914149680103</v>
      </c>
    </row>
    <row r="21" spans="2:11" ht="16" x14ac:dyDescent="0.2">
      <c r="B21" s="279" t="s">
        <v>159</v>
      </c>
      <c r="C21" s="388">
        <f>C20</f>
        <v>0</v>
      </c>
      <c r="D21" s="389">
        <f>SUM(D16:D20)</f>
        <v>367.73828299360207</v>
      </c>
      <c r="E21" s="389">
        <f>SUM(E16:E20)</f>
        <v>15000.000000000004</v>
      </c>
      <c r="F21" s="288">
        <f>SUM(F16:F20)</f>
        <v>15367.738282993607</v>
      </c>
    </row>
    <row r="22" spans="2:11" x14ac:dyDescent="0.15">
      <c r="C22" s="257"/>
    </row>
    <row r="24" spans="2:11" ht="16" x14ac:dyDescent="0.2">
      <c r="B24" s="261" t="s">
        <v>334</v>
      </c>
      <c r="C24" s="262"/>
      <c r="D24" s="262"/>
      <c r="E24" s="262"/>
      <c r="F24" s="262"/>
      <c r="G24" s="262"/>
      <c r="H24" s="262"/>
      <c r="I24" s="262"/>
      <c r="J24" s="262"/>
      <c r="K24" s="262"/>
    </row>
    <row r="26" spans="2:11" ht="16" x14ac:dyDescent="0.2">
      <c r="B26" s="282" t="s">
        <v>160</v>
      </c>
      <c r="C26" s="283" t="s">
        <v>161</v>
      </c>
      <c r="D26" s="283" t="s">
        <v>162</v>
      </c>
      <c r="E26" s="283" t="s">
        <v>163</v>
      </c>
      <c r="F26" s="284" t="s">
        <v>164</v>
      </c>
      <c r="G26" s="262"/>
      <c r="H26" s="285" t="s">
        <v>162</v>
      </c>
      <c r="I26" s="263">
        <v>0.06</v>
      </c>
    </row>
    <row r="27" spans="2:11" ht="16" x14ac:dyDescent="0.2">
      <c r="B27" s="264">
        <v>2019</v>
      </c>
      <c r="C27" s="265">
        <f>I27</f>
        <v>200000</v>
      </c>
      <c r="D27" s="290">
        <f>C27*$I$26</f>
        <v>12000</v>
      </c>
      <c r="E27" s="266">
        <f>F27-D27</f>
        <v>97087.378640776704</v>
      </c>
      <c r="F27" s="267">
        <f>$I$29</f>
        <v>109087.3786407767</v>
      </c>
      <c r="G27" s="262"/>
      <c r="H27" s="286" t="s">
        <v>158</v>
      </c>
      <c r="I27" s="268">
        <v>200000</v>
      </c>
    </row>
    <row r="28" spans="2:11" ht="16" x14ac:dyDescent="0.2">
      <c r="B28" s="269">
        <f>+B27+1</f>
        <v>2020</v>
      </c>
      <c r="C28" s="270">
        <f>C27-E27</f>
        <v>102912.6213592233</v>
      </c>
      <c r="D28" s="289">
        <f>C28*$I$26</f>
        <v>6174.7572815533977</v>
      </c>
      <c r="E28" s="271">
        <f t="shared" ref="E28" si="0">F28-D28</f>
        <v>102912.62135922331</v>
      </c>
      <c r="F28" s="272">
        <f>$I$29</f>
        <v>109087.3786407767</v>
      </c>
      <c r="G28" s="262"/>
      <c r="H28" s="287" t="s">
        <v>165</v>
      </c>
      <c r="I28" s="273">
        <v>2</v>
      </c>
    </row>
    <row r="29" spans="2:11" ht="16" x14ac:dyDescent="0.2">
      <c r="B29" s="269">
        <f t="shared" ref="B29:B36" si="1">+B28+1</f>
        <v>2021</v>
      </c>
      <c r="C29" s="270">
        <f t="shared" ref="C29" si="2">C28-E28</f>
        <v>0</v>
      </c>
      <c r="D29" s="289">
        <f>C29*$I$26</f>
        <v>0</v>
      </c>
      <c r="E29" s="271"/>
      <c r="F29" s="272"/>
      <c r="G29" s="262"/>
      <c r="H29" s="282" t="s">
        <v>164</v>
      </c>
      <c r="I29" s="274">
        <f>-PMT(I26,I28,I27)</f>
        <v>109087.3786407767</v>
      </c>
    </row>
    <row r="30" spans="2:11" ht="16" x14ac:dyDescent="0.2">
      <c r="B30" s="269">
        <f t="shared" si="1"/>
        <v>2022</v>
      </c>
      <c r="C30" s="270"/>
      <c r="D30" s="289"/>
      <c r="E30" s="271"/>
      <c r="F30" s="272"/>
      <c r="G30" s="262"/>
      <c r="H30" s="282" t="s">
        <v>166</v>
      </c>
      <c r="I30" s="288">
        <f>I29/12</f>
        <v>9090.6148867313914</v>
      </c>
    </row>
    <row r="31" spans="2:11" ht="16" x14ac:dyDescent="0.2">
      <c r="B31" s="269">
        <f t="shared" si="1"/>
        <v>2023</v>
      </c>
      <c r="C31" s="270"/>
      <c r="D31" s="289"/>
      <c r="E31" s="271"/>
      <c r="F31" s="272"/>
      <c r="G31" s="262"/>
      <c r="H31" s="395" t="s">
        <v>285</v>
      </c>
      <c r="I31" s="288">
        <f>D37/I28</f>
        <v>9087.3786407766984</v>
      </c>
    </row>
    <row r="32" spans="2:11" ht="16" x14ac:dyDescent="0.2">
      <c r="B32" s="269">
        <f t="shared" si="1"/>
        <v>2024</v>
      </c>
      <c r="C32" s="270"/>
      <c r="D32" s="289"/>
      <c r="E32" s="271"/>
      <c r="F32" s="272"/>
      <c r="G32" s="262"/>
      <c r="H32" s="275"/>
      <c r="I32" s="262"/>
    </row>
    <row r="33" spans="2:11" ht="16" x14ac:dyDescent="0.2">
      <c r="B33" s="269">
        <f t="shared" si="1"/>
        <v>2025</v>
      </c>
      <c r="C33" s="270"/>
      <c r="D33" s="289"/>
      <c r="E33" s="271"/>
      <c r="F33" s="272"/>
      <c r="G33" s="262"/>
      <c r="H33" s="262"/>
      <c r="I33" s="262"/>
    </row>
    <row r="34" spans="2:11" ht="16" x14ac:dyDescent="0.2">
      <c r="B34" s="269">
        <f t="shared" si="1"/>
        <v>2026</v>
      </c>
      <c r="C34" s="270"/>
      <c r="D34" s="289"/>
      <c r="E34" s="271"/>
      <c r="F34" s="272"/>
      <c r="G34" s="262"/>
      <c r="H34" s="262"/>
      <c r="I34" s="262"/>
    </row>
    <row r="35" spans="2:11" ht="14" x14ac:dyDescent="0.2">
      <c r="B35" s="269">
        <f t="shared" si="1"/>
        <v>2027</v>
      </c>
      <c r="C35" s="270"/>
      <c r="D35" s="289"/>
      <c r="E35" s="271"/>
      <c r="F35" s="272"/>
    </row>
    <row r="36" spans="2:11" ht="14" x14ac:dyDescent="0.2">
      <c r="B36" s="269">
        <f t="shared" si="1"/>
        <v>2028</v>
      </c>
      <c r="C36" s="276"/>
      <c r="D36" s="291"/>
      <c r="E36" s="277"/>
      <c r="F36" s="278"/>
    </row>
    <row r="37" spans="2:11" ht="16" x14ac:dyDescent="0.2">
      <c r="B37" s="279" t="s">
        <v>159</v>
      </c>
      <c r="C37" s="388">
        <f>C36</f>
        <v>0</v>
      </c>
      <c r="D37" s="280">
        <f>SUM(D27:D36)</f>
        <v>18174.757281553397</v>
      </c>
      <c r="E37" s="280">
        <f>SUM(E27:E36)</f>
        <v>200000</v>
      </c>
      <c r="F37" s="281">
        <f>SUM(F27:F36)</f>
        <v>218174.75728155341</v>
      </c>
    </row>
    <row r="40" spans="2:11" ht="16" x14ac:dyDescent="0.2">
      <c r="B40" s="261" t="s">
        <v>286</v>
      </c>
      <c r="C40" s="262"/>
      <c r="D40" s="262"/>
      <c r="E40" s="262"/>
      <c r="F40" s="262"/>
      <c r="G40" s="262"/>
      <c r="H40" s="262"/>
      <c r="I40" s="262"/>
    </row>
    <row r="42" spans="2:11" ht="16" x14ac:dyDescent="0.2">
      <c r="B42" s="282" t="s">
        <v>160</v>
      </c>
      <c r="C42" s="282" t="s">
        <v>161</v>
      </c>
      <c r="D42" s="390" t="s">
        <v>162</v>
      </c>
      <c r="E42" s="390" t="s">
        <v>163</v>
      </c>
      <c r="F42" s="391" t="s">
        <v>164</v>
      </c>
      <c r="G42" s="262"/>
      <c r="H42" s="285" t="s">
        <v>162</v>
      </c>
      <c r="I42" s="263">
        <v>0.08</v>
      </c>
    </row>
    <row r="43" spans="2:11" ht="16" x14ac:dyDescent="0.2">
      <c r="B43" s="264">
        <v>2019</v>
      </c>
      <c r="C43" s="270">
        <f>I43</f>
        <v>750000</v>
      </c>
      <c r="D43" s="289">
        <f t="shared" ref="D43:D50" si="3">C43*$I$42</f>
        <v>60000</v>
      </c>
      <c r="E43" s="271">
        <f>F43-D43</f>
        <v>70511.070443866629</v>
      </c>
      <c r="F43" s="272">
        <f t="shared" ref="F43:F50" si="4">$I$45</f>
        <v>130511.07044386663</v>
      </c>
      <c r="G43" s="262"/>
      <c r="H43" s="286" t="s">
        <v>158</v>
      </c>
      <c r="I43" s="268">
        <v>750000</v>
      </c>
    </row>
    <row r="44" spans="2:11" ht="16" x14ac:dyDescent="0.2">
      <c r="B44" s="269">
        <f>+B43+1</f>
        <v>2020</v>
      </c>
      <c r="C44" s="270">
        <f>C43-E43</f>
        <v>679488.92955613334</v>
      </c>
      <c r="D44" s="289">
        <f t="shared" si="3"/>
        <v>54359.11436449067</v>
      </c>
      <c r="E44" s="271">
        <f t="shared" ref="E44:E50" si="5">F44-D44</f>
        <v>76151.956079375959</v>
      </c>
      <c r="F44" s="272">
        <f t="shared" si="4"/>
        <v>130511.07044386663</v>
      </c>
      <c r="G44" s="262"/>
      <c r="H44" s="287" t="s">
        <v>165</v>
      </c>
      <c r="I44" s="273">
        <v>8</v>
      </c>
    </row>
    <row r="45" spans="2:11" ht="16" x14ac:dyDescent="0.2">
      <c r="B45" s="269">
        <f t="shared" ref="B45:B52" si="6">+B44+1</f>
        <v>2021</v>
      </c>
      <c r="C45" s="270">
        <f t="shared" ref="C45:C50" si="7">C44-E44</f>
        <v>603336.97347675741</v>
      </c>
      <c r="D45" s="289">
        <f t="shared" si="3"/>
        <v>48266.957878140594</v>
      </c>
      <c r="E45" s="271">
        <f t="shared" si="5"/>
        <v>82244.112565726042</v>
      </c>
      <c r="F45" s="272">
        <f t="shared" si="4"/>
        <v>130511.07044386663</v>
      </c>
      <c r="G45" s="262"/>
      <c r="H45" s="282" t="s">
        <v>164</v>
      </c>
      <c r="I45" s="274">
        <f>-PMT(I42,I44,I43)</f>
        <v>130511.07044386663</v>
      </c>
    </row>
    <row r="46" spans="2:11" ht="16" x14ac:dyDescent="0.2">
      <c r="B46" s="269">
        <f t="shared" si="6"/>
        <v>2022</v>
      </c>
      <c r="C46" s="270">
        <f t="shared" si="7"/>
        <v>521092.86091103137</v>
      </c>
      <c r="D46" s="289">
        <f t="shared" si="3"/>
        <v>41687.428872882512</v>
      </c>
      <c r="E46" s="271">
        <f t="shared" si="5"/>
        <v>88823.641570984124</v>
      </c>
      <c r="F46" s="272">
        <f t="shared" si="4"/>
        <v>130511.07044386663</v>
      </c>
      <c r="G46" s="262"/>
      <c r="H46" s="282" t="s">
        <v>166</v>
      </c>
      <c r="I46" s="288">
        <f>I45/12</f>
        <v>10875.922536988886</v>
      </c>
    </row>
    <row r="47" spans="2:11" ht="16" x14ac:dyDescent="0.2">
      <c r="B47" s="269">
        <f t="shared" si="6"/>
        <v>2023</v>
      </c>
      <c r="C47" s="270">
        <f t="shared" si="7"/>
        <v>432269.21934004722</v>
      </c>
      <c r="D47" s="289">
        <f t="shared" si="3"/>
        <v>34581.537547203778</v>
      </c>
      <c r="E47" s="271">
        <f t="shared" si="5"/>
        <v>95929.532896662859</v>
      </c>
      <c r="F47" s="272">
        <f t="shared" si="4"/>
        <v>130511.07044386663</v>
      </c>
      <c r="G47" s="262"/>
      <c r="H47" s="395" t="s">
        <v>285</v>
      </c>
      <c r="I47" s="288">
        <f>D53/I44</f>
        <v>36761.070443866629</v>
      </c>
      <c r="J47" s="262"/>
      <c r="K47" s="262"/>
    </row>
    <row r="48" spans="2:11" ht="14" x14ac:dyDescent="0.2">
      <c r="B48" s="269">
        <f t="shared" si="6"/>
        <v>2024</v>
      </c>
      <c r="C48" s="270">
        <f t="shared" si="7"/>
        <v>336339.68644338439</v>
      </c>
      <c r="D48" s="289">
        <f t="shared" si="3"/>
        <v>26907.17491547075</v>
      </c>
      <c r="E48" s="271">
        <f t="shared" si="5"/>
        <v>103603.89552839588</v>
      </c>
      <c r="F48" s="272">
        <f t="shared" si="4"/>
        <v>130511.07044386663</v>
      </c>
    </row>
    <row r="49" spans="2:9" ht="14" x14ac:dyDescent="0.2">
      <c r="B49" s="269">
        <f t="shared" si="6"/>
        <v>2025</v>
      </c>
      <c r="C49" s="270">
        <f t="shared" si="7"/>
        <v>232735.79091498849</v>
      </c>
      <c r="D49" s="289">
        <f t="shared" si="3"/>
        <v>18618.86327319908</v>
      </c>
      <c r="E49" s="271">
        <f t="shared" si="5"/>
        <v>111892.20717066755</v>
      </c>
      <c r="F49" s="272">
        <f t="shared" si="4"/>
        <v>130511.07044386663</v>
      </c>
    </row>
    <row r="50" spans="2:9" ht="14" x14ac:dyDescent="0.2">
      <c r="B50" s="269">
        <f t="shared" si="6"/>
        <v>2026</v>
      </c>
      <c r="C50" s="270">
        <f t="shared" si="7"/>
        <v>120843.58374432095</v>
      </c>
      <c r="D50" s="289">
        <f t="shared" si="3"/>
        <v>9667.4866995456759</v>
      </c>
      <c r="E50" s="271">
        <f t="shared" si="5"/>
        <v>120843.58374432096</v>
      </c>
      <c r="F50" s="272">
        <f t="shared" si="4"/>
        <v>130511.07044386663</v>
      </c>
    </row>
    <row r="51" spans="2:9" ht="14" x14ac:dyDescent="0.2">
      <c r="B51" s="269">
        <f t="shared" si="6"/>
        <v>2027</v>
      </c>
      <c r="C51" s="270"/>
      <c r="D51" s="289"/>
      <c r="E51" s="271"/>
      <c r="F51" s="272"/>
    </row>
    <row r="52" spans="2:9" ht="14" x14ac:dyDescent="0.2">
      <c r="B52" s="269">
        <f t="shared" si="6"/>
        <v>2028</v>
      </c>
      <c r="C52" s="270"/>
      <c r="D52" s="289"/>
      <c r="E52" s="271"/>
      <c r="F52" s="272"/>
    </row>
    <row r="53" spans="2:9" ht="16" x14ac:dyDescent="0.2">
      <c r="B53" s="279" t="s">
        <v>159</v>
      </c>
      <c r="C53" s="388">
        <f>C52</f>
        <v>0</v>
      </c>
      <c r="D53" s="389">
        <f>SUM(D43:D52)</f>
        <v>294088.56355093303</v>
      </c>
      <c r="E53" s="389">
        <f>SUM(E43:E52)</f>
        <v>750000</v>
      </c>
      <c r="F53" s="288">
        <f>SUM(F43:F52)</f>
        <v>1044088.5635509331</v>
      </c>
    </row>
    <row r="58" spans="2:9" ht="16" x14ac:dyDescent="0.2">
      <c r="B58" s="261" t="s">
        <v>335</v>
      </c>
      <c r="C58" s="262"/>
      <c r="D58" s="262"/>
      <c r="E58" s="262"/>
      <c r="F58" s="262"/>
      <c r="G58" s="262"/>
      <c r="H58" s="262"/>
      <c r="I58" s="262"/>
    </row>
    <row r="60" spans="2:9" ht="16" x14ac:dyDescent="0.2">
      <c r="B60" s="282" t="s">
        <v>160</v>
      </c>
      <c r="C60" s="282" t="s">
        <v>161</v>
      </c>
      <c r="D60" s="390" t="s">
        <v>162</v>
      </c>
      <c r="E60" s="390" t="s">
        <v>163</v>
      </c>
      <c r="F60" s="391" t="s">
        <v>164</v>
      </c>
      <c r="G60" s="262"/>
      <c r="H60" s="285" t="s">
        <v>162</v>
      </c>
      <c r="I60" s="263">
        <v>2.5000000000000001E-2</v>
      </c>
    </row>
    <row r="61" spans="2:9" ht="16" x14ac:dyDescent="0.2">
      <c r="B61" s="264">
        <v>2019</v>
      </c>
      <c r="C61" s="270">
        <f>I61</f>
        <v>100000</v>
      </c>
      <c r="D61" s="289">
        <f>C61*$I$60</f>
        <v>2500</v>
      </c>
      <c r="E61" s="271">
        <f>F61-D61</f>
        <v>19024.686090821622</v>
      </c>
      <c r="F61" s="272">
        <f>$I$63</f>
        <v>21524.686090821622</v>
      </c>
      <c r="G61" s="262"/>
      <c r="H61" s="286" t="s">
        <v>158</v>
      </c>
      <c r="I61" s="268">
        <v>100000</v>
      </c>
    </row>
    <row r="62" spans="2:9" ht="16" x14ac:dyDescent="0.2">
      <c r="B62" s="269">
        <f>+B61+1</f>
        <v>2020</v>
      </c>
      <c r="C62" s="270">
        <f>C61-E61</f>
        <v>80975.313909178381</v>
      </c>
      <c r="D62" s="289">
        <f>C62*$I$60</f>
        <v>2024.3828477294596</v>
      </c>
      <c r="E62" s="271">
        <f t="shared" ref="E62:E65" si="8">F62-D62</f>
        <v>19500.303243092163</v>
      </c>
      <c r="F62" s="272">
        <f>$I$63</f>
        <v>21524.686090821622</v>
      </c>
      <c r="G62" s="262"/>
      <c r="H62" s="287" t="s">
        <v>165</v>
      </c>
      <c r="I62" s="273">
        <v>5</v>
      </c>
    </row>
    <row r="63" spans="2:9" ht="16" x14ac:dyDescent="0.2">
      <c r="B63" s="269">
        <f t="shared" ref="B63:B70" si="9">+B62+1</f>
        <v>2021</v>
      </c>
      <c r="C63" s="270">
        <f t="shared" ref="C63:C66" si="10">C62-E62</f>
        <v>61475.010666086222</v>
      </c>
      <c r="D63" s="289">
        <f t="shared" ref="D63:D66" si="11">C63*$I$60</f>
        <v>1536.8752666521557</v>
      </c>
      <c r="E63" s="271">
        <f t="shared" si="8"/>
        <v>19987.810824169468</v>
      </c>
      <c r="F63" s="272">
        <f t="shared" ref="F63:F65" si="12">$I$63</f>
        <v>21524.686090821622</v>
      </c>
      <c r="G63" s="262"/>
      <c r="H63" s="282" t="s">
        <v>164</v>
      </c>
      <c r="I63" s="274">
        <f>-PMT(I60,I62,I61)</f>
        <v>21524.686090821622</v>
      </c>
    </row>
    <row r="64" spans="2:9" ht="16" x14ac:dyDescent="0.2">
      <c r="B64" s="269">
        <f t="shared" si="9"/>
        <v>2022</v>
      </c>
      <c r="C64" s="270">
        <f t="shared" si="10"/>
        <v>41487.19984191675</v>
      </c>
      <c r="D64" s="289">
        <f t="shared" si="11"/>
        <v>1037.1799960479188</v>
      </c>
      <c r="E64" s="271">
        <f t="shared" si="8"/>
        <v>20487.506094773704</v>
      </c>
      <c r="F64" s="272">
        <f t="shared" si="12"/>
        <v>21524.686090821622</v>
      </c>
      <c r="G64" s="262"/>
      <c r="H64" s="282" t="s">
        <v>166</v>
      </c>
      <c r="I64" s="288">
        <f>I63/12</f>
        <v>1793.7238409018019</v>
      </c>
    </row>
    <row r="65" spans="2:10" ht="16" x14ac:dyDescent="0.2">
      <c r="B65" s="269">
        <f t="shared" si="9"/>
        <v>2023</v>
      </c>
      <c r="C65" s="270">
        <f t="shared" si="10"/>
        <v>20999.693747143046</v>
      </c>
      <c r="D65" s="289">
        <f t="shared" si="11"/>
        <v>524.99234367857616</v>
      </c>
      <c r="E65" s="271">
        <f t="shared" si="8"/>
        <v>20999.693747143046</v>
      </c>
      <c r="F65" s="272">
        <f t="shared" si="12"/>
        <v>21524.686090821622</v>
      </c>
      <c r="G65" s="262"/>
      <c r="H65" s="395" t="s">
        <v>285</v>
      </c>
      <c r="I65" s="288">
        <f>D71/I62</f>
        <v>1524.6860908216217</v>
      </c>
    </row>
    <row r="66" spans="2:10" ht="14" x14ac:dyDescent="0.2">
      <c r="B66" s="269">
        <f t="shared" si="9"/>
        <v>2024</v>
      </c>
      <c r="C66" s="270">
        <f t="shared" si="10"/>
        <v>0</v>
      </c>
      <c r="D66" s="289">
        <f t="shared" si="11"/>
        <v>0</v>
      </c>
      <c r="E66" s="271"/>
      <c r="F66" s="272"/>
    </row>
    <row r="67" spans="2:10" ht="14" x14ac:dyDescent="0.2">
      <c r="B67" s="269">
        <f t="shared" si="9"/>
        <v>2025</v>
      </c>
      <c r="C67" s="270"/>
      <c r="D67" s="289"/>
      <c r="E67" s="271"/>
      <c r="F67" s="272"/>
    </row>
    <row r="68" spans="2:10" ht="14" x14ac:dyDescent="0.2">
      <c r="B68" s="269">
        <f t="shared" si="9"/>
        <v>2026</v>
      </c>
      <c r="C68" s="270"/>
      <c r="D68" s="289"/>
      <c r="E68" s="271"/>
      <c r="F68" s="272"/>
      <c r="H68" s="13"/>
      <c r="I68" s="13"/>
      <c r="J68" s="13"/>
    </row>
    <row r="69" spans="2:10" ht="14" x14ac:dyDescent="0.2">
      <c r="B69" s="269">
        <f t="shared" si="9"/>
        <v>2027</v>
      </c>
      <c r="C69" s="270"/>
      <c r="D69" s="289"/>
      <c r="E69" s="271"/>
      <c r="F69" s="272"/>
      <c r="H69" s="13"/>
      <c r="I69" s="13"/>
      <c r="J69" s="13"/>
    </row>
    <row r="70" spans="2:10" ht="14" x14ac:dyDescent="0.2">
      <c r="B70" s="269">
        <f t="shared" si="9"/>
        <v>2028</v>
      </c>
      <c r="C70" s="270"/>
      <c r="D70" s="289"/>
      <c r="E70" s="271"/>
      <c r="F70" s="272"/>
      <c r="H70" s="420"/>
      <c r="I70" s="421"/>
      <c r="J70" s="13"/>
    </row>
    <row r="71" spans="2:10" ht="16" x14ac:dyDescent="0.2">
      <c r="B71" s="279" t="s">
        <v>159</v>
      </c>
      <c r="C71" s="388">
        <f>C70</f>
        <v>0</v>
      </c>
      <c r="D71" s="389">
        <f>SUM(D61:D70)</f>
        <v>7623.4304541081092</v>
      </c>
      <c r="E71" s="389">
        <f>SUM(E61:E70)</f>
        <v>100000</v>
      </c>
      <c r="F71" s="288">
        <f>SUM(F61:F70)</f>
        <v>107623.43045410811</v>
      </c>
      <c r="H71" s="420"/>
      <c r="I71" s="421"/>
      <c r="J71" s="13"/>
    </row>
    <row r="75" spans="2:10" ht="16" x14ac:dyDescent="0.2">
      <c r="B75" s="261" t="s">
        <v>333</v>
      </c>
      <c r="C75" s="262"/>
      <c r="D75" s="262"/>
      <c r="E75" s="262"/>
      <c r="F75" s="262"/>
      <c r="G75" s="262"/>
      <c r="H75" s="262"/>
      <c r="I75" s="262"/>
    </row>
    <row r="77" spans="2:10" ht="16" x14ac:dyDescent="0.2">
      <c r="B77" s="282" t="s">
        <v>160</v>
      </c>
      <c r="C77" s="282" t="s">
        <v>161</v>
      </c>
      <c r="D77" s="390" t="s">
        <v>162</v>
      </c>
      <c r="E77" s="390" t="s">
        <v>163</v>
      </c>
      <c r="F77" s="391" t="s">
        <v>164</v>
      </c>
      <c r="G77" s="262"/>
      <c r="H77" s="285" t="s">
        <v>162</v>
      </c>
      <c r="I77" s="263">
        <v>0.06</v>
      </c>
    </row>
    <row r="78" spans="2:10" ht="16" x14ac:dyDescent="0.2">
      <c r="B78" s="264">
        <v>2019</v>
      </c>
      <c r="C78" s="270"/>
      <c r="D78" s="289"/>
      <c r="E78" s="271"/>
      <c r="F78" s="272"/>
      <c r="G78" s="262"/>
      <c r="H78" s="286" t="s">
        <v>158</v>
      </c>
      <c r="I78" s="268">
        <f>935000+1500000</f>
        <v>2435000</v>
      </c>
    </row>
    <row r="79" spans="2:10" ht="16" x14ac:dyDescent="0.2">
      <c r="B79" s="269">
        <f>+B78+1</f>
        <v>2020</v>
      </c>
      <c r="C79" s="270">
        <f>I78</f>
        <v>2435000</v>
      </c>
      <c r="D79" s="289">
        <f>C79*$I$77</f>
        <v>146100</v>
      </c>
      <c r="E79" s="271">
        <f t="shared" ref="E79:E85" si="13">F79-D79</f>
        <v>104614.33023118644</v>
      </c>
      <c r="F79" s="272">
        <f t="shared" ref="F79:F88" si="14">$I$80</f>
        <v>250714.33023118644</v>
      </c>
      <c r="G79" s="262"/>
      <c r="H79" s="287" t="s">
        <v>165</v>
      </c>
      <c r="I79" s="273">
        <v>15</v>
      </c>
    </row>
    <row r="80" spans="2:10" ht="16" x14ac:dyDescent="0.2">
      <c r="B80" s="269">
        <f t="shared" ref="B80:B87" si="15">+B79+1</f>
        <v>2021</v>
      </c>
      <c r="C80" s="270">
        <f>C79-E79</f>
        <v>2330385.6697688135</v>
      </c>
      <c r="D80" s="289">
        <f t="shared" ref="D80:D88" si="16">C80*$I$77</f>
        <v>139823.14018612882</v>
      </c>
      <c r="E80" s="271">
        <f t="shared" si="13"/>
        <v>110891.19004505762</v>
      </c>
      <c r="F80" s="272">
        <f t="shared" si="14"/>
        <v>250714.33023118644</v>
      </c>
      <c r="G80" s="262"/>
      <c r="H80" s="282" t="s">
        <v>164</v>
      </c>
      <c r="I80" s="274">
        <f>-PMT(I77,I79,I78)</f>
        <v>250714.33023118644</v>
      </c>
    </row>
    <row r="81" spans="2:11" ht="16" x14ac:dyDescent="0.2">
      <c r="B81" s="269">
        <f t="shared" si="15"/>
        <v>2022</v>
      </c>
      <c r="C81" s="270">
        <f t="shared" ref="C81:C85" si="17">C80-E80</f>
        <v>2219494.4797237557</v>
      </c>
      <c r="D81" s="289">
        <f t="shared" si="16"/>
        <v>133169.66878342535</v>
      </c>
      <c r="E81" s="271">
        <f t="shared" si="13"/>
        <v>117544.66144776109</v>
      </c>
      <c r="F81" s="272">
        <f t="shared" si="14"/>
        <v>250714.33023118644</v>
      </c>
      <c r="G81" s="262"/>
      <c r="H81" s="282" t="s">
        <v>166</v>
      </c>
      <c r="I81" s="288">
        <f>I80/12</f>
        <v>20892.860852598871</v>
      </c>
    </row>
    <row r="82" spans="2:11" ht="16" x14ac:dyDescent="0.2">
      <c r="B82" s="269">
        <f t="shared" si="15"/>
        <v>2023</v>
      </c>
      <c r="C82" s="270">
        <f t="shared" si="17"/>
        <v>2101949.8182759946</v>
      </c>
      <c r="D82" s="289">
        <f t="shared" si="16"/>
        <v>126116.98909655967</v>
      </c>
      <c r="E82" s="271">
        <f t="shared" si="13"/>
        <v>124597.34113462677</v>
      </c>
      <c r="F82" s="272">
        <f t="shared" si="14"/>
        <v>250714.33023118644</v>
      </c>
      <c r="G82" s="262"/>
      <c r="H82" s="395" t="s">
        <v>285</v>
      </c>
      <c r="I82" s="288">
        <f>D89/I79</f>
        <v>75216.217833338495</v>
      </c>
    </row>
    <row r="83" spans="2:11" ht="14" x14ac:dyDescent="0.2">
      <c r="B83" s="269">
        <f t="shared" si="15"/>
        <v>2024</v>
      </c>
      <c r="C83" s="270">
        <f t="shared" si="17"/>
        <v>1977352.4771413677</v>
      </c>
      <c r="D83" s="289">
        <f t="shared" si="16"/>
        <v>118641.14862848206</v>
      </c>
      <c r="E83" s="271">
        <f t="shared" si="13"/>
        <v>132073.1816027044</v>
      </c>
      <c r="F83" s="272">
        <f t="shared" si="14"/>
        <v>250714.33023118644</v>
      </c>
    </row>
    <row r="84" spans="2:11" ht="14" x14ac:dyDescent="0.2">
      <c r="B84" s="269">
        <f t="shared" si="15"/>
        <v>2025</v>
      </c>
      <c r="C84" s="270">
        <f t="shared" si="17"/>
        <v>1845279.2955386634</v>
      </c>
      <c r="D84" s="289">
        <f t="shared" si="16"/>
        <v>110716.75773231981</v>
      </c>
      <c r="E84" s="271">
        <f t="shared" si="13"/>
        <v>139997.57249886665</v>
      </c>
      <c r="F84" s="272">
        <f t="shared" si="14"/>
        <v>250714.33023118644</v>
      </c>
    </row>
    <row r="85" spans="2:11" ht="14" x14ac:dyDescent="0.2">
      <c r="B85" s="269">
        <f t="shared" si="15"/>
        <v>2026</v>
      </c>
      <c r="C85" s="270">
        <f t="shared" si="17"/>
        <v>1705281.7230397968</v>
      </c>
      <c r="D85" s="289">
        <f t="shared" si="16"/>
        <v>102316.9033823878</v>
      </c>
      <c r="E85" s="271">
        <f t="shared" si="13"/>
        <v>148397.42684879864</v>
      </c>
      <c r="F85" s="272">
        <f t="shared" si="14"/>
        <v>250714.33023118644</v>
      </c>
    </row>
    <row r="86" spans="2:11" ht="14" x14ac:dyDescent="0.2">
      <c r="B86" s="269">
        <f t="shared" si="15"/>
        <v>2027</v>
      </c>
      <c r="C86" s="270">
        <f t="shared" ref="C86:C88" si="18">C85-E85</f>
        <v>1556884.2961909981</v>
      </c>
      <c r="D86" s="289">
        <f t="shared" si="16"/>
        <v>93413.057771459877</v>
      </c>
      <c r="E86" s="271">
        <f t="shared" ref="E86:E88" si="19">F86-D86</f>
        <v>157301.27245972655</v>
      </c>
      <c r="F86" s="272">
        <f t="shared" si="14"/>
        <v>250714.33023118644</v>
      </c>
      <c r="H86" s="13"/>
      <c r="I86" s="13"/>
      <c r="J86" s="13"/>
    </row>
    <row r="87" spans="2:11" ht="14" x14ac:dyDescent="0.2">
      <c r="B87" s="269">
        <f t="shared" si="15"/>
        <v>2028</v>
      </c>
      <c r="C87" s="270">
        <f t="shared" si="18"/>
        <v>1399583.0237312715</v>
      </c>
      <c r="D87" s="289">
        <f t="shared" si="16"/>
        <v>83974.981423876292</v>
      </c>
      <c r="E87" s="271">
        <f t="shared" si="19"/>
        <v>166739.34880731016</v>
      </c>
      <c r="F87" s="272">
        <f t="shared" si="14"/>
        <v>250714.33023118644</v>
      </c>
      <c r="H87" s="420"/>
      <c r="I87" s="421"/>
      <c r="J87" s="13"/>
    </row>
    <row r="88" spans="2:11" ht="14" x14ac:dyDescent="0.2">
      <c r="B88" s="269">
        <v>2029</v>
      </c>
      <c r="C88" s="270">
        <f t="shared" si="18"/>
        <v>1232843.6749239613</v>
      </c>
      <c r="D88" s="289">
        <f t="shared" si="16"/>
        <v>73970.620495437674</v>
      </c>
      <c r="E88" s="271">
        <f t="shared" si="19"/>
        <v>176743.70973574877</v>
      </c>
      <c r="F88" s="272">
        <f t="shared" si="14"/>
        <v>250714.33023118644</v>
      </c>
      <c r="H88" s="420"/>
      <c r="I88" s="421"/>
      <c r="J88" s="13"/>
    </row>
    <row r="89" spans="2:11" ht="16" x14ac:dyDescent="0.2">
      <c r="B89" s="279" t="s">
        <v>159</v>
      </c>
      <c r="C89" s="388">
        <f>C88</f>
        <v>1232843.6749239613</v>
      </c>
      <c r="D89" s="389">
        <f>SUM(D78:D88)</f>
        <v>1128243.2675000774</v>
      </c>
      <c r="E89" s="389">
        <f>SUM(E78:E88)</f>
        <v>1378900.0348117871</v>
      </c>
      <c r="F89" s="288">
        <f>SUM(F78:F88)</f>
        <v>2507143.3023118642</v>
      </c>
      <c r="H89" s="420"/>
      <c r="I89" s="421"/>
      <c r="J89" s="13"/>
    </row>
    <row r="90" spans="2:11" x14ac:dyDescent="0.15">
      <c r="H90" s="13"/>
      <c r="I90" s="13"/>
      <c r="J90" s="13"/>
    </row>
    <row r="94" spans="2:11" x14ac:dyDescent="0.15">
      <c r="I94" t="s">
        <v>322</v>
      </c>
      <c r="J94" t="s">
        <v>325</v>
      </c>
      <c r="K94" t="s">
        <v>323</v>
      </c>
    </row>
    <row r="95" spans="2:11" ht="14" x14ac:dyDescent="0.2">
      <c r="H95" s="264">
        <v>2019</v>
      </c>
      <c r="I95" s="411">
        <f>+D16+D27+D43+D61+D78</f>
        <v>74744.5</v>
      </c>
      <c r="J95" s="411">
        <f>+E16+E27+E43+E61+E78</f>
        <v>194062.50431696177</v>
      </c>
      <c r="K95" s="411">
        <f>C17+C28+C44+C62+C79-C79</f>
        <v>870937.49568303814</v>
      </c>
    </row>
    <row r="96" spans="2:11" ht="14" x14ac:dyDescent="0.2">
      <c r="H96" s="269">
        <f>+H95+1</f>
        <v>2020</v>
      </c>
      <c r="I96" s="411">
        <f>+D17+D28+D44+D62+D79</f>
        <v>208781.49277676712</v>
      </c>
      <c r="J96" s="411">
        <f t="shared" ref="J96:J104" si="20">+E17+E28+E44+E62+E79</f>
        <v>310739.84177138109</v>
      </c>
      <c r="K96" s="411">
        <f t="shared" ref="K96:K102" si="21">C18+C29+C45+C63+C80</f>
        <v>2995197.6539116572</v>
      </c>
    </row>
    <row r="97" spans="8:14" ht="14" x14ac:dyDescent="0.2">
      <c r="H97" s="269">
        <f t="shared" ref="H97:H104" si="22">+H96+1</f>
        <v>2021</v>
      </c>
      <c r="I97" s="411">
        <f>+D18+D29+D45+D63+D80</f>
        <v>189626.97333092155</v>
      </c>
      <c r="J97" s="411">
        <f t="shared" si="20"/>
        <v>213123.11343495315</v>
      </c>
      <c r="K97" s="411">
        <f t="shared" si="21"/>
        <v>2782074.540476704</v>
      </c>
      <c r="M97" s="411">
        <f>+K96-J97</f>
        <v>2782074.540476704</v>
      </c>
      <c r="N97" s="411">
        <f>+K97-M97</f>
        <v>0</v>
      </c>
    </row>
    <row r="98" spans="8:14" ht="14" x14ac:dyDescent="0.2">
      <c r="H98" s="269">
        <f t="shared" si="22"/>
        <v>2022</v>
      </c>
      <c r="I98" s="411">
        <f>+D19+D30+D46+D64+D81</f>
        <v>175894.27765235578</v>
      </c>
      <c r="J98" s="411">
        <f>+E19+E30+E46+E64+E81</f>
        <v>226855.80911351892</v>
      </c>
      <c r="K98" s="411">
        <f t="shared" si="21"/>
        <v>2555218.7313631848</v>
      </c>
      <c r="M98" s="411">
        <f t="shared" ref="M98:M104" si="23">+K97-J98</f>
        <v>2555218.7313631852</v>
      </c>
      <c r="N98" s="411">
        <f t="shared" ref="N98:N104" si="24">+K98-M98</f>
        <v>0</v>
      </c>
    </row>
    <row r="99" spans="8:14" ht="14" x14ac:dyDescent="0.2">
      <c r="H99" s="269">
        <f t="shared" si="22"/>
        <v>2023</v>
      </c>
      <c r="I99" s="411">
        <f>+D20+D31+D47+D65+D82</f>
        <v>161223.51898744202</v>
      </c>
      <c r="J99" s="411">
        <f t="shared" si="20"/>
        <v>241526.56777843268</v>
      </c>
      <c r="K99" s="411">
        <f t="shared" si="21"/>
        <v>2313692.163584752</v>
      </c>
      <c r="M99" s="411">
        <f t="shared" si="23"/>
        <v>2313692.163584752</v>
      </c>
      <c r="N99" s="411">
        <f t="shared" si="24"/>
        <v>0</v>
      </c>
    </row>
    <row r="100" spans="8:14" ht="14" x14ac:dyDescent="0.2">
      <c r="H100" s="269">
        <f t="shared" si="22"/>
        <v>2024</v>
      </c>
      <c r="I100" s="411">
        <f>+D32+D48+D66+D83</f>
        <v>145548.32354395281</v>
      </c>
      <c r="J100" s="411">
        <f>+E32+E48+E66+E83</f>
        <v>235677.07713110029</v>
      </c>
      <c r="K100" s="411">
        <f t="shared" si="21"/>
        <v>2078015.086453652</v>
      </c>
      <c r="M100" s="411">
        <f t="shared" si="23"/>
        <v>2078015.0864536518</v>
      </c>
      <c r="N100" s="411">
        <f t="shared" si="24"/>
        <v>0</v>
      </c>
    </row>
    <row r="101" spans="8:14" ht="14" x14ac:dyDescent="0.2">
      <c r="H101" s="269">
        <f t="shared" si="22"/>
        <v>2025</v>
      </c>
      <c r="I101" s="411">
        <f>+D33+D49+D67+D84</f>
        <v>129335.62100551889</v>
      </c>
      <c r="J101" s="411">
        <f t="shared" si="20"/>
        <v>251889.77966953418</v>
      </c>
      <c r="K101" s="411">
        <f t="shared" si="21"/>
        <v>1826125.3067841178</v>
      </c>
      <c r="M101" s="411">
        <f t="shared" si="23"/>
        <v>1826125.3067841178</v>
      </c>
      <c r="N101" s="411">
        <f t="shared" si="24"/>
        <v>0</v>
      </c>
    </row>
    <row r="102" spans="8:14" ht="14" x14ac:dyDescent="0.2">
      <c r="H102" s="269">
        <f t="shared" si="22"/>
        <v>2026</v>
      </c>
      <c r="I102" s="411">
        <f>+D34+D50+D68+D85</f>
        <v>111984.39008193347</v>
      </c>
      <c r="J102" s="411">
        <f t="shared" si="20"/>
        <v>269241.0105931196</v>
      </c>
      <c r="K102" s="411">
        <f t="shared" si="21"/>
        <v>1556884.2961909981</v>
      </c>
      <c r="M102" s="411">
        <f t="shared" si="23"/>
        <v>1556884.2961909983</v>
      </c>
      <c r="N102" s="411">
        <f t="shared" si="24"/>
        <v>0</v>
      </c>
    </row>
    <row r="103" spans="8:14" ht="14" x14ac:dyDescent="0.2">
      <c r="H103" s="269">
        <f t="shared" si="22"/>
        <v>2027</v>
      </c>
      <c r="I103" s="411">
        <f>+D35+D51+D69+D86</f>
        <v>93413.057771459877</v>
      </c>
      <c r="J103" s="411">
        <f t="shared" si="20"/>
        <v>157301.27245972655</v>
      </c>
      <c r="K103" s="411">
        <f t="shared" ref="K103" si="25">C25+C36+C52+C70+C87</f>
        <v>1399583.0237312715</v>
      </c>
      <c r="M103" s="411">
        <f t="shared" si="23"/>
        <v>1399583.0237312715</v>
      </c>
      <c r="N103" s="411">
        <f t="shared" si="24"/>
        <v>0</v>
      </c>
    </row>
    <row r="104" spans="8:14" ht="14" x14ac:dyDescent="0.2">
      <c r="H104" s="269">
        <f t="shared" si="22"/>
        <v>2028</v>
      </c>
      <c r="I104" s="411">
        <f>+D36+D52+D70+D87</f>
        <v>83974.981423876292</v>
      </c>
      <c r="J104" s="411">
        <f t="shared" si="20"/>
        <v>166739.34880731016</v>
      </c>
      <c r="K104" s="411">
        <f>K103-E36-E52-E70-E87</f>
        <v>1232843.6749239613</v>
      </c>
      <c r="M104" s="411">
        <f t="shared" si="23"/>
        <v>1232843.6749239613</v>
      </c>
      <c r="N104" s="411">
        <f t="shared" si="24"/>
        <v>0</v>
      </c>
    </row>
    <row r="105" spans="8:14" x14ac:dyDescent="0.15">
      <c r="I105" s="424">
        <f>SUM(I95:I104)</f>
        <v>1374527.1365742278</v>
      </c>
      <c r="J105" s="424">
        <f>SUM(J95:J104)</f>
        <v>2267156.3250760385</v>
      </c>
      <c r="K105" s="424"/>
    </row>
    <row r="106" spans="8:14" x14ac:dyDescent="0.15">
      <c r="I106" s="438">
        <f>SUM(I105:J105)</f>
        <v>3641683.4616502663</v>
      </c>
      <c r="J106" s="439"/>
    </row>
  </sheetData>
  <mergeCells count="1">
    <mergeCell ref="I106:J106"/>
  </mergeCells>
  <pageMargins left="0.75" right="0.75" top="1" bottom="1" header="0.3" footer="0.3"/>
  <pageSetup paperSize="9" scale="54" fitToHeight="0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128"/>
  <sheetViews>
    <sheetView showGridLines="0" view="pageBreakPreview" zoomScale="97" zoomScaleNormal="100" zoomScaleSheetLayoutView="97" workbookViewId="0">
      <pane xSplit="7" ySplit="9" topLeftCell="H10" activePane="bottomRight" state="frozen"/>
      <selection pane="topRight" activeCell="E1" sqref="E1"/>
      <selection pane="bottomLeft" activeCell="A5" sqref="A5"/>
      <selection pane="bottomRight" activeCell="K39" sqref="K39"/>
    </sheetView>
  </sheetViews>
  <sheetFormatPr baseColWidth="10" defaultColWidth="8.83203125" defaultRowHeight="13" x14ac:dyDescent="0.15"/>
  <cols>
    <col min="1" max="1" width="3.33203125" customWidth="1"/>
    <col min="2" max="2" width="16.33203125" bestFit="1" customWidth="1"/>
    <col min="3" max="3" width="15.1640625" style="106" bestFit="1" customWidth="1"/>
    <col min="4" max="4" width="28.5" style="56" bestFit="1" customWidth="1"/>
    <col min="5" max="6" width="6.5" style="56" customWidth="1"/>
    <col min="7" max="7" width="10.5" style="316" bestFit="1" customWidth="1"/>
    <col min="8" max="8" width="1.6640625" style="22" customWidth="1"/>
    <col min="9" max="9" width="11.1640625" bestFit="1" customWidth="1"/>
    <col min="10" max="10" width="5.1640625" style="25" customWidth="1"/>
    <col min="11" max="20" width="11.6640625" bestFit="1" customWidth="1"/>
    <col min="21" max="21" width="9.33203125" customWidth="1"/>
    <col min="22" max="22" width="15.5" style="316" customWidth="1"/>
  </cols>
  <sheetData>
    <row r="1" spans="2:22" x14ac:dyDescent="0.15"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2:22" x14ac:dyDescent="0.15">
      <c r="K2" s="25"/>
      <c r="L2" s="235"/>
      <c r="M2" s="235"/>
      <c r="N2" s="235"/>
      <c r="O2" s="235"/>
      <c r="P2" s="235"/>
      <c r="Q2" s="235"/>
      <c r="R2" s="235"/>
      <c r="S2" s="235"/>
      <c r="T2" s="235"/>
      <c r="U2" s="25"/>
    </row>
    <row r="3" spans="2:22" x14ac:dyDescent="0.15"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5"/>
    </row>
    <row r="4" spans="2:22" x14ac:dyDescent="0.15"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5"/>
    </row>
    <row r="5" spans="2:22" x14ac:dyDescent="0.15"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5"/>
    </row>
    <row r="6" spans="2:22" x14ac:dyDescent="0.15">
      <c r="K6" s="236"/>
      <c r="L6" s="236"/>
      <c r="M6" s="236"/>
      <c r="N6" s="237"/>
      <c r="O6" s="237"/>
      <c r="P6" s="237"/>
      <c r="Q6" s="237"/>
      <c r="R6" s="237"/>
      <c r="S6" s="237"/>
      <c r="T6" s="237"/>
      <c r="U6" s="25"/>
    </row>
    <row r="7" spans="2:22" x14ac:dyDescent="0.15"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5"/>
    </row>
    <row r="8" spans="2:22" x14ac:dyDescent="0.15">
      <c r="I8" s="208"/>
      <c r="J8" s="320"/>
    </row>
    <row r="9" spans="2:22" ht="18" x14ac:dyDescent="0.2">
      <c r="B9" s="110" t="s">
        <v>35</v>
      </c>
      <c r="H9" s="88"/>
      <c r="I9" s="209"/>
      <c r="J9" s="376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2:22" x14ac:dyDescent="0.15">
      <c r="H10" s="88"/>
      <c r="I10" s="210">
        <v>2018</v>
      </c>
      <c r="J10" s="210"/>
      <c r="K10" s="108">
        <v>2019</v>
      </c>
      <c r="L10" s="108">
        <v>2020</v>
      </c>
      <c r="M10" s="108">
        <v>2021</v>
      </c>
      <c r="N10" s="108">
        <v>2022</v>
      </c>
      <c r="O10" s="108">
        <v>2023</v>
      </c>
      <c r="P10" s="108">
        <v>2024</v>
      </c>
      <c r="Q10" s="108">
        <v>2025</v>
      </c>
      <c r="R10" s="108">
        <v>2026</v>
      </c>
      <c r="S10" s="108">
        <v>2026</v>
      </c>
      <c r="T10" s="108">
        <v>2026</v>
      </c>
      <c r="V10" s="321" t="s">
        <v>210</v>
      </c>
    </row>
    <row r="11" spans="2:22" s="25" customFormat="1" x14ac:dyDescent="0.15">
      <c r="D11" s="56"/>
      <c r="E11" s="56"/>
      <c r="F11" s="56"/>
      <c r="G11" s="167"/>
      <c r="H11" s="88"/>
      <c r="I11" s="307">
        <f>SUM(I12,I17,I22,I45,I37)</f>
        <v>15</v>
      </c>
      <c r="J11" s="307"/>
      <c r="K11" s="307">
        <f t="shared" ref="K11:T11" si="0">SUM(K12,K17,K22,K27,K45,K37,K53,K61)</f>
        <v>72</v>
      </c>
      <c r="L11" s="307">
        <f t="shared" si="0"/>
        <v>856</v>
      </c>
      <c r="M11" s="307">
        <f t="shared" si="0"/>
        <v>1556</v>
      </c>
      <c r="N11" s="307">
        <f t="shared" si="0"/>
        <v>2093</v>
      </c>
      <c r="O11" s="307">
        <f t="shared" si="0"/>
        <v>2693</v>
      </c>
      <c r="P11" s="307">
        <f t="shared" si="0"/>
        <v>2743</v>
      </c>
      <c r="Q11" s="307">
        <f t="shared" si="0"/>
        <v>2743</v>
      </c>
      <c r="R11" s="307">
        <f t="shared" si="0"/>
        <v>2743</v>
      </c>
      <c r="S11" s="307">
        <f t="shared" si="0"/>
        <v>2743</v>
      </c>
      <c r="T11" s="307">
        <f t="shared" si="0"/>
        <v>2743</v>
      </c>
      <c r="V11" s="167"/>
    </row>
    <row r="12" spans="2:22" ht="16" x14ac:dyDescent="0.2">
      <c r="B12" s="359" t="s">
        <v>184</v>
      </c>
      <c r="C12" s="128" t="s">
        <v>201</v>
      </c>
      <c r="D12" s="127" t="s">
        <v>179</v>
      </c>
      <c r="E12" s="127"/>
      <c r="F12" s="127"/>
      <c r="H12" s="90"/>
      <c r="I12" s="234"/>
      <c r="J12" s="330"/>
      <c r="K12" s="234">
        <v>0</v>
      </c>
      <c r="L12" s="234">
        <v>688</v>
      </c>
      <c r="M12" s="234">
        <f t="shared" ref="M12:T12" si="1">L12</f>
        <v>688</v>
      </c>
      <c r="N12" s="234">
        <f t="shared" si="1"/>
        <v>688</v>
      </c>
      <c r="O12" s="234">
        <f t="shared" si="1"/>
        <v>688</v>
      </c>
      <c r="P12" s="234">
        <f t="shared" si="1"/>
        <v>688</v>
      </c>
      <c r="Q12" s="234">
        <f t="shared" si="1"/>
        <v>688</v>
      </c>
      <c r="R12" s="234">
        <f t="shared" si="1"/>
        <v>688</v>
      </c>
      <c r="S12" s="234">
        <f t="shared" si="1"/>
        <v>688</v>
      </c>
      <c r="T12" s="234">
        <f t="shared" si="1"/>
        <v>688</v>
      </c>
      <c r="V12" s="315" t="s">
        <v>224</v>
      </c>
    </row>
    <row r="13" spans="2:22" x14ac:dyDescent="0.15">
      <c r="B13" s="40"/>
      <c r="C13" s="93"/>
      <c r="D13" s="127" t="s">
        <v>180</v>
      </c>
      <c r="E13" s="127"/>
      <c r="F13" s="127"/>
      <c r="H13" s="90"/>
      <c r="I13" s="306"/>
      <c r="J13" s="330"/>
      <c r="K13" s="306">
        <v>0.64700000000000002</v>
      </c>
      <c r="L13" s="306">
        <v>0.65</v>
      </c>
      <c r="M13" s="306">
        <v>0.65</v>
      </c>
      <c r="N13" s="306">
        <v>0.65</v>
      </c>
      <c r="O13" s="306">
        <v>0.65</v>
      </c>
      <c r="P13" s="306">
        <v>0.65</v>
      </c>
      <c r="Q13" s="306">
        <v>0.65</v>
      </c>
      <c r="R13" s="306">
        <v>0.65</v>
      </c>
      <c r="S13" s="306">
        <v>0.65</v>
      </c>
      <c r="T13" s="306">
        <v>0.65</v>
      </c>
    </row>
    <row r="14" spans="2:22" x14ac:dyDescent="0.15">
      <c r="B14" s="249"/>
      <c r="C14" s="93"/>
      <c r="D14" s="127" t="s">
        <v>181</v>
      </c>
      <c r="E14" s="127"/>
      <c r="F14" s="127"/>
      <c r="H14" s="90"/>
      <c r="I14" s="351"/>
      <c r="J14" s="330"/>
      <c r="K14" s="351">
        <f>8760*K13</f>
        <v>5667.72</v>
      </c>
      <c r="L14" s="351">
        <f>8760*L13</f>
        <v>5694</v>
      </c>
      <c r="M14" s="351">
        <f t="shared" ref="M14:O14" si="2">8760*M13</f>
        <v>5694</v>
      </c>
      <c r="N14" s="351">
        <f t="shared" si="2"/>
        <v>5694</v>
      </c>
      <c r="O14" s="351">
        <f t="shared" si="2"/>
        <v>5694</v>
      </c>
      <c r="P14" s="351">
        <f t="shared" ref="P14:R14" si="3">8760*P13</f>
        <v>5694</v>
      </c>
      <c r="Q14" s="351">
        <f t="shared" si="3"/>
        <v>5694</v>
      </c>
      <c r="R14" s="351">
        <f t="shared" si="3"/>
        <v>5694</v>
      </c>
      <c r="S14" s="351">
        <f t="shared" ref="S14:T14" si="4">8760*S13</f>
        <v>5694</v>
      </c>
      <c r="T14" s="351">
        <f t="shared" si="4"/>
        <v>5694</v>
      </c>
    </row>
    <row r="15" spans="2:22" x14ac:dyDescent="0.15">
      <c r="B15" s="249"/>
      <c r="C15" s="93"/>
      <c r="D15" s="127" t="s">
        <v>182</v>
      </c>
      <c r="E15" s="127"/>
      <c r="F15" s="127"/>
      <c r="H15" s="90"/>
      <c r="I15" s="312"/>
      <c r="J15" s="330"/>
      <c r="K15" s="312">
        <f>K14*K12</f>
        <v>0</v>
      </c>
      <c r="L15" s="312">
        <f>L14*L12</f>
        <v>3917472</v>
      </c>
      <c r="M15" s="312">
        <f t="shared" ref="M15:O15" si="5">M14*M12</f>
        <v>3917472</v>
      </c>
      <c r="N15" s="312">
        <f t="shared" si="5"/>
        <v>3917472</v>
      </c>
      <c r="O15" s="312">
        <f t="shared" si="5"/>
        <v>3917472</v>
      </c>
      <c r="P15" s="312">
        <f t="shared" ref="P15:R15" si="6">P14*P12</f>
        <v>3917472</v>
      </c>
      <c r="Q15" s="312">
        <f t="shared" si="6"/>
        <v>3917472</v>
      </c>
      <c r="R15" s="312">
        <f t="shared" si="6"/>
        <v>3917472</v>
      </c>
      <c r="S15" s="312">
        <f t="shared" ref="S15:T15" si="7">S14*S12</f>
        <v>3917472</v>
      </c>
      <c r="T15" s="312">
        <f t="shared" si="7"/>
        <v>3917472</v>
      </c>
    </row>
    <row r="16" spans="2:22" s="25" customFormat="1" x14ac:dyDescent="0.15">
      <c r="B16" s="327"/>
      <c r="C16" s="93"/>
      <c r="D16" s="107"/>
      <c r="E16" s="107"/>
      <c r="F16" s="107"/>
      <c r="G16" s="167"/>
      <c r="H16" s="91"/>
      <c r="I16" s="232"/>
      <c r="J16" s="232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/>
      <c r="V16" s="316"/>
    </row>
    <row r="17" spans="2:22" x14ac:dyDescent="0.15">
      <c r="B17" s="40"/>
      <c r="C17" s="128" t="s">
        <v>202</v>
      </c>
      <c r="D17" s="127" t="s">
        <v>175</v>
      </c>
      <c r="E17" s="127"/>
      <c r="F17" s="127"/>
      <c r="H17" s="90"/>
      <c r="I17" s="430"/>
      <c r="J17" s="377"/>
      <c r="K17" s="233">
        <f>K12*0.25</f>
        <v>0</v>
      </c>
      <c r="L17" s="233">
        <v>0</v>
      </c>
      <c r="M17" s="233">
        <v>650</v>
      </c>
      <c r="N17" s="234">
        <f t="shared" ref="N17:T17" si="8">M17</f>
        <v>650</v>
      </c>
      <c r="O17" s="234">
        <f t="shared" si="8"/>
        <v>650</v>
      </c>
      <c r="P17" s="234">
        <f t="shared" si="8"/>
        <v>650</v>
      </c>
      <c r="Q17" s="234">
        <f t="shared" si="8"/>
        <v>650</v>
      </c>
      <c r="R17" s="234">
        <f t="shared" si="8"/>
        <v>650</v>
      </c>
      <c r="S17" s="234">
        <f t="shared" si="8"/>
        <v>650</v>
      </c>
      <c r="T17" s="234">
        <f t="shared" si="8"/>
        <v>650</v>
      </c>
      <c r="V17" s="315" t="s">
        <v>225</v>
      </c>
    </row>
    <row r="18" spans="2:22" x14ac:dyDescent="0.15">
      <c r="B18" s="40"/>
      <c r="C18" s="128"/>
      <c r="D18" s="127" t="s">
        <v>176</v>
      </c>
      <c r="E18" s="127"/>
      <c r="F18" s="127"/>
      <c r="H18" s="90"/>
      <c r="I18" s="430"/>
      <c r="J18" s="377"/>
      <c r="K18" s="306">
        <v>0.64700000000000002</v>
      </c>
      <c r="L18" s="306">
        <v>0.64700000000000002</v>
      </c>
      <c r="M18" s="306">
        <v>0.64700000000000002</v>
      </c>
      <c r="N18" s="306">
        <v>0.64700000000000002</v>
      </c>
      <c r="O18" s="306">
        <v>0.64700000000000002</v>
      </c>
      <c r="P18" s="306">
        <v>0.64700000000000002</v>
      </c>
      <c r="Q18" s="306">
        <v>0.64700000000000002</v>
      </c>
      <c r="R18" s="306">
        <v>0.64700000000000002</v>
      </c>
      <c r="S18" s="306">
        <v>0.64700000000000002</v>
      </c>
      <c r="T18" s="306">
        <v>0.64700000000000002</v>
      </c>
    </row>
    <row r="19" spans="2:22" x14ac:dyDescent="0.15">
      <c r="B19" s="40"/>
      <c r="C19" s="128"/>
      <c r="D19" s="127" t="s">
        <v>178</v>
      </c>
      <c r="E19" s="127"/>
      <c r="F19" s="127"/>
      <c r="H19" s="90"/>
      <c r="I19" s="351"/>
      <c r="J19" s="331"/>
      <c r="K19" s="351">
        <f>8760*K18</f>
        <v>5667.72</v>
      </c>
      <c r="L19" s="351">
        <f>8760*L18</f>
        <v>5667.72</v>
      </c>
      <c r="M19" s="351">
        <f t="shared" ref="M19" si="9">8760*M18</f>
        <v>5667.72</v>
      </c>
      <c r="N19" s="351">
        <f t="shared" ref="N19" si="10">8760*N18</f>
        <v>5667.72</v>
      </c>
      <c r="O19" s="351">
        <f t="shared" ref="O19:P19" si="11">8760*O18</f>
        <v>5667.72</v>
      </c>
      <c r="P19" s="351">
        <f t="shared" si="11"/>
        <v>5667.72</v>
      </c>
      <c r="Q19" s="351">
        <f t="shared" ref="Q19:R19" si="12">8760*Q18</f>
        <v>5667.72</v>
      </c>
      <c r="R19" s="351">
        <f t="shared" si="12"/>
        <v>5667.72</v>
      </c>
      <c r="S19" s="351">
        <f t="shared" ref="S19:T19" si="13">8760*S18</f>
        <v>5667.72</v>
      </c>
      <c r="T19" s="351">
        <f t="shared" si="13"/>
        <v>5667.72</v>
      </c>
    </row>
    <row r="20" spans="2:22" x14ac:dyDescent="0.15">
      <c r="B20" s="40"/>
      <c r="C20" s="128"/>
      <c r="D20" s="127" t="s">
        <v>177</v>
      </c>
      <c r="E20" s="127"/>
      <c r="F20" s="127"/>
      <c r="H20" s="90"/>
      <c r="I20" s="311"/>
      <c r="J20" s="311"/>
      <c r="K20" s="312">
        <f>K19*K17</f>
        <v>0</v>
      </c>
      <c r="L20" s="312">
        <f>L19*L17</f>
        <v>0</v>
      </c>
      <c r="M20" s="312">
        <f t="shared" ref="M20" si="14">M19*M17</f>
        <v>3684018</v>
      </c>
      <c r="N20" s="312">
        <f t="shared" ref="N20" si="15">N19*N17</f>
        <v>3684018</v>
      </c>
      <c r="O20" s="312">
        <f t="shared" ref="O20:P20" si="16">O19*O17</f>
        <v>3684018</v>
      </c>
      <c r="P20" s="312">
        <f t="shared" si="16"/>
        <v>3684018</v>
      </c>
      <c r="Q20" s="312">
        <f t="shared" ref="Q20:R20" si="17">Q19*Q17</f>
        <v>3684018</v>
      </c>
      <c r="R20" s="312">
        <f t="shared" si="17"/>
        <v>3684018</v>
      </c>
      <c r="S20" s="312">
        <f t="shared" ref="S20:T20" si="18">S19*S17</f>
        <v>3684018</v>
      </c>
      <c r="T20" s="312">
        <f t="shared" si="18"/>
        <v>3684018</v>
      </c>
    </row>
    <row r="21" spans="2:22" s="25" customFormat="1" x14ac:dyDescent="0.15">
      <c r="B21" s="56"/>
      <c r="C21" s="93"/>
      <c r="D21" s="107"/>
      <c r="E21" s="107"/>
      <c r="F21" s="107"/>
      <c r="G21" s="167"/>
      <c r="H21" s="91"/>
      <c r="I21" s="232"/>
      <c r="J21" s="2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/>
      <c r="V21" s="316"/>
    </row>
    <row r="22" spans="2:22" x14ac:dyDescent="0.15">
      <c r="B22" s="40"/>
      <c r="C22" s="128" t="s">
        <v>203</v>
      </c>
      <c r="D22" s="127" t="s">
        <v>175</v>
      </c>
      <c r="E22" s="127"/>
      <c r="F22" s="127"/>
      <c r="H22" s="90"/>
      <c r="I22" s="430"/>
      <c r="J22" s="377"/>
      <c r="K22" s="233">
        <f>K17*0.25</f>
        <v>0</v>
      </c>
      <c r="L22" s="233">
        <v>0</v>
      </c>
      <c r="M22" s="233">
        <v>0</v>
      </c>
      <c r="N22" s="233">
        <v>437</v>
      </c>
      <c r="O22" s="233">
        <v>437</v>
      </c>
      <c r="P22" s="233">
        <v>437</v>
      </c>
      <c r="Q22" s="233">
        <v>437</v>
      </c>
      <c r="R22" s="233">
        <v>437</v>
      </c>
      <c r="S22" s="233">
        <v>437</v>
      </c>
      <c r="T22" s="233">
        <v>437</v>
      </c>
      <c r="V22" s="315" t="s">
        <v>226</v>
      </c>
    </row>
    <row r="23" spans="2:22" x14ac:dyDescent="0.15">
      <c r="B23" s="40"/>
      <c r="C23" s="128"/>
      <c r="D23" s="127" t="s">
        <v>176</v>
      </c>
      <c r="E23" s="127"/>
      <c r="F23" s="127"/>
      <c r="H23" s="90"/>
      <c r="I23" s="430"/>
      <c r="J23" s="377"/>
      <c r="K23" s="306">
        <v>0.64700000000000002</v>
      </c>
      <c r="L23" s="306">
        <v>0.64700000000000002</v>
      </c>
      <c r="M23" s="306">
        <v>0.64700000000000002</v>
      </c>
      <c r="N23" s="306">
        <v>0.64700000000000002</v>
      </c>
      <c r="O23" s="306">
        <v>0.64700000000000002</v>
      </c>
      <c r="P23" s="306">
        <v>0.64700000000000002</v>
      </c>
      <c r="Q23" s="306">
        <v>0.64700000000000002</v>
      </c>
      <c r="R23" s="306">
        <v>0.64700000000000002</v>
      </c>
      <c r="S23" s="306">
        <v>0.64700000000000002</v>
      </c>
      <c r="T23" s="306">
        <v>0.64700000000000002</v>
      </c>
    </row>
    <row r="24" spans="2:22" x14ac:dyDescent="0.15">
      <c r="B24" s="40"/>
      <c r="C24" s="128"/>
      <c r="D24" s="127" t="s">
        <v>178</v>
      </c>
      <c r="E24" s="127"/>
      <c r="F24" s="127"/>
      <c r="H24" s="90"/>
      <c r="I24" s="351"/>
      <c r="J24" s="331"/>
      <c r="K24" s="351">
        <f>8760*K23</f>
        <v>5667.72</v>
      </c>
      <c r="L24" s="351">
        <f>8760*L23</f>
        <v>5667.72</v>
      </c>
      <c r="M24" s="351">
        <f t="shared" ref="M24" si="19">8760*M23</f>
        <v>5667.72</v>
      </c>
      <c r="N24" s="351">
        <f t="shared" ref="N24" si="20">8760*N23</f>
        <v>5667.72</v>
      </c>
      <c r="O24" s="351">
        <f t="shared" ref="O24:P24" si="21">8760*O23</f>
        <v>5667.72</v>
      </c>
      <c r="P24" s="351">
        <f t="shared" si="21"/>
        <v>5667.72</v>
      </c>
      <c r="Q24" s="351">
        <f t="shared" ref="Q24:R24" si="22">8760*Q23</f>
        <v>5667.72</v>
      </c>
      <c r="R24" s="351">
        <f t="shared" si="22"/>
        <v>5667.72</v>
      </c>
      <c r="S24" s="351">
        <f t="shared" ref="S24:T24" si="23">8760*S23</f>
        <v>5667.72</v>
      </c>
      <c r="T24" s="351">
        <f t="shared" si="23"/>
        <v>5667.72</v>
      </c>
    </row>
    <row r="25" spans="2:22" x14ac:dyDescent="0.15">
      <c r="B25" s="40"/>
      <c r="C25" s="128"/>
      <c r="D25" s="127" t="s">
        <v>177</v>
      </c>
      <c r="E25" s="127"/>
      <c r="F25" s="127"/>
      <c r="H25" s="90"/>
      <c r="I25" s="311"/>
      <c r="J25" s="311"/>
      <c r="K25" s="312">
        <f>K24*K22</f>
        <v>0</v>
      </c>
      <c r="L25" s="312">
        <f>L24*L22</f>
        <v>0</v>
      </c>
      <c r="M25" s="312">
        <f t="shared" ref="M25" si="24">M24*M22</f>
        <v>0</v>
      </c>
      <c r="N25" s="312">
        <f t="shared" ref="N25" si="25">N24*N22</f>
        <v>2476793.64</v>
      </c>
      <c r="O25" s="312">
        <f t="shared" ref="O25:P25" si="26">O24*O22</f>
        <v>2476793.64</v>
      </c>
      <c r="P25" s="312">
        <f t="shared" si="26"/>
        <v>2476793.64</v>
      </c>
      <c r="Q25" s="312">
        <f t="shared" ref="Q25:R25" si="27">Q24*Q22</f>
        <v>2476793.64</v>
      </c>
      <c r="R25" s="312">
        <f t="shared" si="27"/>
        <v>2476793.64</v>
      </c>
      <c r="S25" s="312">
        <f t="shared" ref="S25:T25" si="28">S24*S22</f>
        <v>2476793.64</v>
      </c>
      <c r="T25" s="312">
        <f t="shared" si="28"/>
        <v>2476793.64</v>
      </c>
    </row>
    <row r="26" spans="2:22" s="25" customFormat="1" x14ac:dyDescent="0.15">
      <c r="B26" s="56"/>
      <c r="C26" s="93"/>
      <c r="D26" s="107"/>
      <c r="E26" s="107"/>
      <c r="F26" s="107"/>
      <c r="G26" s="167"/>
      <c r="H26" s="91"/>
      <c r="I26" s="232"/>
      <c r="J26" s="2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/>
      <c r="V26" s="316"/>
    </row>
    <row r="27" spans="2:22" x14ac:dyDescent="0.15">
      <c r="B27" s="40"/>
      <c r="C27" s="128" t="s">
        <v>291</v>
      </c>
      <c r="D27" s="127" t="s">
        <v>175</v>
      </c>
      <c r="E27" s="127"/>
      <c r="F27" s="127"/>
      <c r="G27" s="387"/>
      <c r="H27" s="90"/>
      <c r="I27" s="430"/>
      <c r="J27" s="377"/>
      <c r="K27" s="233"/>
      <c r="L27" s="233"/>
      <c r="M27" s="233"/>
      <c r="N27" s="233"/>
      <c r="O27" s="233">
        <v>500</v>
      </c>
      <c r="P27" s="233">
        <v>500</v>
      </c>
      <c r="Q27" s="233">
        <v>500</v>
      </c>
      <c r="R27" s="233">
        <v>500</v>
      </c>
      <c r="S27" s="233">
        <v>500</v>
      </c>
      <c r="T27" s="233">
        <v>500</v>
      </c>
      <c r="V27" s="386" t="s">
        <v>226</v>
      </c>
    </row>
    <row r="28" spans="2:22" x14ac:dyDescent="0.15">
      <c r="B28" s="40"/>
      <c r="C28" s="128"/>
      <c r="D28" s="127" t="s">
        <v>176</v>
      </c>
      <c r="E28" s="127"/>
      <c r="F28" s="127"/>
      <c r="G28" s="387"/>
      <c r="H28" s="90"/>
      <c r="I28" s="430"/>
      <c r="J28" s="377"/>
      <c r="K28" s="306">
        <v>0.64700000000000002</v>
      </c>
      <c r="L28" s="306">
        <v>0.64700000000000002</v>
      </c>
      <c r="M28" s="306">
        <v>0.64700000000000002</v>
      </c>
      <c r="N28" s="306">
        <v>0.64700000000000002</v>
      </c>
      <c r="O28" s="306">
        <v>0.64700000000000002</v>
      </c>
      <c r="P28" s="306">
        <v>0.64700000000000002</v>
      </c>
      <c r="Q28" s="306">
        <v>0.64700000000000002</v>
      </c>
      <c r="R28" s="306">
        <v>0.64700000000000002</v>
      </c>
      <c r="S28" s="306">
        <v>0.64700000000000002</v>
      </c>
      <c r="T28" s="306">
        <v>0.64700000000000002</v>
      </c>
      <c r="V28" s="387"/>
    </row>
    <row r="29" spans="2:22" x14ac:dyDescent="0.15">
      <c r="B29" s="40"/>
      <c r="C29" s="128"/>
      <c r="D29" s="127" t="s">
        <v>178</v>
      </c>
      <c r="E29" s="127"/>
      <c r="F29" s="127"/>
      <c r="G29" s="387"/>
      <c r="H29" s="90"/>
      <c r="I29" s="351"/>
      <c r="J29" s="331"/>
      <c r="K29" s="351">
        <f>8760*K28</f>
        <v>5667.72</v>
      </c>
      <c r="L29" s="351">
        <f>8760*L28</f>
        <v>5667.72</v>
      </c>
      <c r="M29" s="351">
        <f t="shared" ref="M29:R29" si="29">8760*M28</f>
        <v>5667.72</v>
      </c>
      <c r="N29" s="351">
        <f t="shared" si="29"/>
        <v>5667.72</v>
      </c>
      <c r="O29" s="351">
        <f t="shared" si="29"/>
        <v>5667.72</v>
      </c>
      <c r="P29" s="351">
        <f t="shared" si="29"/>
        <v>5667.72</v>
      </c>
      <c r="Q29" s="351">
        <f t="shared" si="29"/>
        <v>5667.72</v>
      </c>
      <c r="R29" s="351">
        <f t="shared" si="29"/>
        <v>5667.72</v>
      </c>
      <c r="S29" s="351">
        <f t="shared" ref="S29:T29" si="30">8760*S28</f>
        <v>5667.72</v>
      </c>
      <c r="T29" s="351">
        <f t="shared" si="30"/>
        <v>5667.72</v>
      </c>
      <c r="V29" s="387"/>
    </row>
    <row r="30" spans="2:22" x14ac:dyDescent="0.15">
      <c r="B30" s="40"/>
      <c r="C30" s="128"/>
      <c r="D30" s="127" t="s">
        <v>177</v>
      </c>
      <c r="E30" s="127"/>
      <c r="F30" s="127"/>
      <c r="G30" s="387"/>
      <c r="H30" s="90"/>
      <c r="I30" s="311"/>
      <c r="J30" s="311"/>
      <c r="K30" s="312">
        <f>K29*K27</f>
        <v>0</v>
      </c>
      <c r="L30" s="312">
        <f>L29*L27</f>
        <v>0</v>
      </c>
      <c r="M30" s="312">
        <f t="shared" ref="M30:R30" si="31">M29*M27</f>
        <v>0</v>
      </c>
      <c r="N30" s="312">
        <f t="shared" si="31"/>
        <v>0</v>
      </c>
      <c r="O30" s="312">
        <f t="shared" si="31"/>
        <v>2833860</v>
      </c>
      <c r="P30" s="312">
        <f t="shared" si="31"/>
        <v>2833860</v>
      </c>
      <c r="Q30" s="312">
        <f t="shared" si="31"/>
        <v>2833860</v>
      </c>
      <c r="R30" s="312">
        <f t="shared" si="31"/>
        <v>2833860</v>
      </c>
      <c r="S30" s="312">
        <f t="shared" ref="S30:T30" si="32">S29*S27</f>
        <v>2833860</v>
      </c>
      <c r="T30" s="312">
        <f t="shared" si="32"/>
        <v>2833860</v>
      </c>
      <c r="V30" s="387"/>
    </row>
    <row r="31" spans="2:22" s="25" customFormat="1" x14ac:dyDescent="0.15">
      <c r="B31" s="56"/>
      <c r="C31" s="93"/>
      <c r="D31" s="107"/>
      <c r="E31" s="107"/>
      <c r="F31" s="107"/>
      <c r="G31" s="167"/>
      <c r="H31" s="91"/>
      <c r="I31" s="232"/>
      <c r="J31" s="2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/>
      <c r="V31" s="387"/>
    </row>
    <row r="32" spans="2:22" x14ac:dyDescent="0.15">
      <c r="B32" s="40"/>
      <c r="C32" s="106" t="s">
        <v>18</v>
      </c>
      <c r="D32" s="27" t="s">
        <v>227</v>
      </c>
      <c r="E32" s="27"/>
      <c r="F32" s="27"/>
      <c r="G32" s="175"/>
      <c r="H32" s="338"/>
      <c r="I32" s="339">
        <f>SUM(I15,I20,I25,I30)</f>
        <v>0</v>
      </c>
      <c r="J32" s="311"/>
      <c r="K32" s="339">
        <f>SUM(K15,K20,K25,K30)</f>
        <v>0</v>
      </c>
      <c r="L32" s="339">
        <f t="shared" ref="L32:R32" si="33">SUM(L15,L20,L25,L30)</f>
        <v>3917472</v>
      </c>
      <c r="M32" s="339">
        <f t="shared" si="33"/>
        <v>7601490</v>
      </c>
      <c r="N32" s="339">
        <f t="shared" si="33"/>
        <v>10078283.640000001</v>
      </c>
      <c r="O32" s="339">
        <f t="shared" si="33"/>
        <v>12912143.640000001</v>
      </c>
      <c r="P32" s="339">
        <f t="shared" si="33"/>
        <v>12912143.640000001</v>
      </c>
      <c r="Q32" s="339">
        <f t="shared" si="33"/>
        <v>12912143.640000001</v>
      </c>
      <c r="R32" s="339">
        <f t="shared" si="33"/>
        <v>12912143.640000001</v>
      </c>
      <c r="S32" s="339">
        <f t="shared" ref="S32:T32" si="34">SUM(S15,S20,S25,S30)</f>
        <v>12912143.640000001</v>
      </c>
      <c r="T32" s="339">
        <f t="shared" si="34"/>
        <v>12912143.640000001</v>
      </c>
    </row>
    <row r="33" spans="2:22" x14ac:dyDescent="0.15">
      <c r="B33" s="40"/>
      <c r="D33" s="27"/>
      <c r="E33" s="27"/>
      <c r="F33" s="27"/>
      <c r="G33" s="175"/>
      <c r="H33" s="338"/>
      <c r="I33" s="311"/>
      <c r="J33" s="311"/>
      <c r="K33" s="339"/>
      <c r="L33" s="339"/>
      <c r="M33" s="339"/>
      <c r="N33" s="339"/>
      <c r="O33" s="339"/>
      <c r="P33" s="339"/>
      <c r="Q33" s="339"/>
      <c r="R33" s="339"/>
      <c r="S33" s="339"/>
      <c r="T33" s="339"/>
    </row>
    <row r="34" spans="2:22" s="25" customFormat="1" x14ac:dyDescent="0.15">
      <c r="B34" s="56"/>
      <c r="C34" s="52"/>
      <c r="D34" s="27"/>
      <c r="E34" s="27"/>
      <c r="F34" s="27"/>
      <c r="G34" s="367"/>
      <c r="H34" s="338"/>
      <c r="I34" s="311"/>
      <c r="J34" s="311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V34" s="167"/>
    </row>
    <row r="35" spans="2:22" s="25" customFormat="1" x14ac:dyDescent="0.15">
      <c r="B35" s="56"/>
      <c r="C35" s="128"/>
      <c r="D35" s="127"/>
      <c r="E35" s="127"/>
      <c r="F35" s="127"/>
      <c r="G35" s="167"/>
      <c r="H35" s="90"/>
      <c r="I35" s="311"/>
      <c r="J35" s="311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V35" s="167"/>
    </row>
    <row r="36" spans="2:22" s="25" customFormat="1" ht="16" x14ac:dyDescent="0.2">
      <c r="B36" s="359" t="s">
        <v>183</v>
      </c>
      <c r="C36" s="318" t="s">
        <v>204</v>
      </c>
      <c r="D36" s="300" t="s">
        <v>205</v>
      </c>
      <c r="E36" s="107"/>
      <c r="F36" s="107"/>
      <c r="G36" s="167"/>
      <c r="H36" s="91"/>
      <c r="I36" s="234">
        <v>25</v>
      </c>
      <c r="J36" s="312"/>
      <c r="K36" s="428">
        <v>71</v>
      </c>
      <c r="L36" s="428"/>
      <c r="M36" s="428"/>
      <c r="N36" s="428"/>
      <c r="O36" s="428"/>
      <c r="P36" s="428"/>
      <c r="Q36" s="428"/>
      <c r="R36" s="428"/>
      <c r="S36" s="419"/>
      <c r="T36" s="419"/>
      <c r="U36"/>
      <c r="V36" s="315"/>
    </row>
    <row r="37" spans="2:22" x14ac:dyDescent="0.15">
      <c r="C37" s="128" t="s">
        <v>207</v>
      </c>
      <c r="D37" s="127" t="s">
        <v>179</v>
      </c>
      <c r="E37" s="127"/>
      <c r="F37" s="127"/>
      <c r="H37" s="90"/>
      <c r="I37" s="234">
        <v>15</v>
      </c>
      <c r="J37" s="312"/>
      <c r="K37" s="325">
        <v>25</v>
      </c>
      <c r="L37" s="234">
        <v>71</v>
      </c>
      <c r="M37" s="234">
        <v>71</v>
      </c>
      <c r="N37" s="234">
        <v>71</v>
      </c>
      <c r="O37" s="234">
        <v>71</v>
      </c>
      <c r="P37" s="234">
        <v>71</v>
      </c>
      <c r="Q37" s="234">
        <v>71</v>
      </c>
      <c r="R37" s="234">
        <v>71</v>
      </c>
      <c r="S37" s="234">
        <v>71</v>
      </c>
      <c r="T37" s="234">
        <v>71</v>
      </c>
      <c r="V37" s="315" t="s">
        <v>293</v>
      </c>
    </row>
    <row r="38" spans="2:22" x14ac:dyDescent="0.15">
      <c r="B38" s="316"/>
      <c r="C38" s="314"/>
      <c r="D38" s="127" t="s">
        <v>180</v>
      </c>
      <c r="E38" s="127"/>
      <c r="F38" s="127"/>
      <c r="H38" s="90"/>
      <c r="I38" s="306">
        <v>0.64700000000000002</v>
      </c>
      <c r="J38" s="353"/>
      <c r="K38" s="306">
        <v>0.64700000000000002</v>
      </c>
      <c r="L38" s="306">
        <v>0.64700000000000002</v>
      </c>
      <c r="M38" s="306">
        <v>0.64700000000000002</v>
      </c>
      <c r="N38" s="306">
        <v>0.64700000000000002</v>
      </c>
      <c r="O38" s="306">
        <v>0.64700000000000002</v>
      </c>
      <c r="P38" s="306">
        <v>0.64700000000000002</v>
      </c>
      <c r="Q38" s="306">
        <v>0.64700000000000002</v>
      </c>
      <c r="R38" s="306">
        <v>0.64700000000000002</v>
      </c>
      <c r="S38" s="306">
        <v>0.64700000000000002</v>
      </c>
      <c r="T38" s="306">
        <v>0.64700000000000002</v>
      </c>
    </row>
    <row r="39" spans="2:22" x14ac:dyDescent="0.15">
      <c r="B39" s="40"/>
      <c r="C39" s="93"/>
      <c r="D39" s="127" t="s">
        <v>181</v>
      </c>
      <c r="E39" s="127"/>
      <c r="F39" s="127"/>
      <c r="H39" s="90"/>
      <c r="I39" s="312">
        <f>8760*I38</f>
        <v>5667.72</v>
      </c>
      <c r="J39" s="312"/>
      <c r="K39" s="351">
        <f>8760*K38</f>
        <v>5667.72</v>
      </c>
      <c r="L39" s="351">
        <f>8760*L38</f>
        <v>5667.72</v>
      </c>
      <c r="M39" s="351">
        <f t="shared" ref="M39" si="35">8760*M38</f>
        <v>5667.72</v>
      </c>
      <c r="N39" s="351">
        <f t="shared" ref="N39" si="36">8760*N38</f>
        <v>5667.72</v>
      </c>
      <c r="O39" s="351">
        <f t="shared" ref="O39:P39" si="37">8760*O38</f>
        <v>5667.72</v>
      </c>
      <c r="P39" s="351">
        <f t="shared" si="37"/>
        <v>5667.72</v>
      </c>
      <c r="Q39" s="351">
        <f t="shared" ref="Q39:R39" si="38">8760*Q38</f>
        <v>5667.72</v>
      </c>
      <c r="R39" s="351">
        <f t="shared" si="38"/>
        <v>5667.72</v>
      </c>
      <c r="S39" s="351">
        <f t="shared" ref="S39:T39" si="39">8760*S38</f>
        <v>5667.72</v>
      </c>
      <c r="T39" s="351">
        <f t="shared" si="39"/>
        <v>5667.72</v>
      </c>
    </row>
    <row r="40" spans="2:22" x14ac:dyDescent="0.15">
      <c r="B40" s="40"/>
      <c r="C40" s="128"/>
      <c r="D40" s="127" t="s">
        <v>222</v>
      </c>
      <c r="E40" s="127"/>
      <c r="F40" s="127"/>
      <c r="H40" s="90"/>
      <c r="I40" s="312">
        <f>I37*I39/2</f>
        <v>42507.9</v>
      </c>
      <c r="J40" s="312"/>
      <c r="K40" s="312">
        <f t="shared" ref="K40:R40" si="40">K37*K39/2</f>
        <v>70846.5</v>
      </c>
      <c r="L40" s="312">
        <f t="shared" si="40"/>
        <v>201204.06</v>
      </c>
      <c r="M40" s="312">
        <f t="shared" si="40"/>
        <v>201204.06</v>
      </c>
      <c r="N40" s="312">
        <f t="shared" si="40"/>
        <v>201204.06</v>
      </c>
      <c r="O40" s="312">
        <f t="shared" si="40"/>
        <v>201204.06</v>
      </c>
      <c r="P40" s="312">
        <f t="shared" si="40"/>
        <v>201204.06</v>
      </c>
      <c r="Q40" s="312">
        <f t="shared" si="40"/>
        <v>201204.06</v>
      </c>
      <c r="R40" s="312">
        <f t="shared" si="40"/>
        <v>201204.06</v>
      </c>
      <c r="S40" s="312">
        <f t="shared" ref="S40:T40" si="41">S37*S39/2</f>
        <v>201204.06</v>
      </c>
      <c r="T40" s="312">
        <f t="shared" si="41"/>
        <v>201204.06</v>
      </c>
    </row>
    <row r="41" spans="2:22" x14ac:dyDescent="0.15">
      <c r="B41" s="40"/>
      <c r="C41" s="128"/>
      <c r="D41" s="127" t="s">
        <v>223</v>
      </c>
      <c r="E41" s="127"/>
      <c r="F41" s="127"/>
      <c r="H41" s="90"/>
      <c r="I41" s="312">
        <f>I37*I39/4</f>
        <v>21253.95</v>
      </c>
      <c r="J41" s="312"/>
      <c r="K41" s="312">
        <f t="shared" ref="K41:R41" si="42">K37*K39/4</f>
        <v>35423.25</v>
      </c>
      <c r="L41" s="312">
        <f t="shared" si="42"/>
        <v>100602.03</v>
      </c>
      <c r="M41" s="312">
        <f t="shared" si="42"/>
        <v>100602.03</v>
      </c>
      <c r="N41" s="312">
        <f t="shared" si="42"/>
        <v>100602.03</v>
      </c>
      <c r="O41" s="312">
        <f t="shared" si="42"/>
        <v>100602.03</v>
      </c>
      <c r="P41" s="312">
        <f t="shared" si="42"/>
        <v>100602.03</v>
      </c>
      <c r="Q41" s="312">
        <f t="shared" si="42"/>
        <v>100602.03</v>
      </c>
      <c r="R41" s="312">
        <f t="shared" si="42"/>
        <v>100602.03</v>
      </c>
      <c r="S41" s="312">
        <f t="shared" ref="S41:T41" si="43">S37*S39/4</f>
        <v>100602.03</v>
      </c>
      <c r="T41" s="312">
        <f t="shared" si="43"/>
        <v>100602.03</v>
      </c>
    </row>
    <row r="42" spans="2:22" x14ac:dyDescent="0.15">
      <c r="B42" s="40"/>
      <c r="C42" s="93"/>
      <c r="D42" s="127" t="s">
        <v>221</v>
      </c>
      <c r="E42" s="127"/>
      <c r="F42" s="127"/>
      <c r="H42" s="90"/>
      <c r="I42" s="312">
        <f>I37*I39/4</f>
        <v>21253.95</v>
      </c>
      <c r="J42" s="312"/>
      <c r="K42" s="312">
        <f t="shared" ref="K42:R42" si="44">K37*K39/4</f>
        <v>35423.25</v>
      </c>
      <c r="L42" s="312">
        <f t="shared" si="44"/>
        <v>100602.03</v>
      </c>
      <c r="M42" s="312">
        <f t="shared" si="44"/>
        <v>100602.03</v>
      </c>
      <c r="N42" s="312">
        <f t="shared" si="44"/>
        <v>100602.03</v>
      </c>
      <c r="O42" s="312">
        <f t="shared" si="44"/>
        <v>100602.03</v>
      </c>
      <c r="P42" s="312">
        <f t="shared" si="44"/>
        <v>100602.03</v>
      </c>
      <c r="Q42" s="312">
        <f t="shared" si="44"/>
        <v>100602.03</v>
      </c>
      <c r="R42" s="312">
        <f t="shared" si="44"/>
        <v>100602.03</v>
      </c>
      <c r="S42" s="312">
        <f t="shared" ref="S42:T42" si="45">S37*S39/4</f>
        <v>100602.03</v>
      </c>
      <c r="T42" s="312">
        <f t="shared" si="45"/>
        <v>100602.03</v>
      </c>
    </row>
    <row r="43" spans="2:22" s="25" customFormat="1" x14ac:dyDescent="0.15">
      <c r="B43" s="56"/>
      <c r="C43" s="93"/>
      <c r="D43" s="107"/>
      <c r="E43" s="107"/>
      <c r="F43" s="107"/>
      <c r="G43" s="167"/>
      <c r="H43" s="91"/>
      <c r="I43" s="232"/>
      <c r="J43" s="232"/>
      <c r="K43" s="326"/>
      <c r="L43" s="229"/>
      <c r="M43" s="229"/>
      <c r="N43" s="229"/>
      <c r="O43" s="229"/>
      <c r="P43" s="229"/>
      <c r="Q43" s="229"/>
      <c r="R43" s="229"/>
      <c r="S43" s="229"/>
      <c r="T43" s="229"/>
      <c r="U43"/>
      <c r="V43" s="316"/>
    </row>
    <row r="44" spans="2:22" s="25" customFormat="1" x14ac:dyDescent="0.15">
      <c r="B44" s="56"/>
      <c r="C44" s="128" t="s">
        <v>203</v>
      </c>
      <c r="D44" s="300" t="s">
        <v>205</v>
      </c>
      <c r="E44" s="107"/>
      <c r="F44" s="107"/>
      <c r="G44" s="167"/>
      <c r="H44" s="91"/>
      <c r="I44" s="328"/>
      <c r="J44" s="378"/>
      <c r="K44" s="428">
        <v>47</v>
      </c>
      <c r="L44" s="428"/>
      <c r="M44" s="428"/>
      <c r="N44" s="428"/>
      <c r="O44" s="428"/>
      <c r="P44" s="428"/>
      <c r="Q44" s="428"/>
      <c r="R44" s="428"/>
      <c r="S44" s="419"/>
      <c r="T44" s="419"/>
      <c r="U44"/>
      <c r="V44" s="316"/>
    </row>
    <row r="45" spans="2:22" x14ac:dyDescent="0.15">
      <c r="B45" s="40"/>
      <c r="C45" s="128" t="s">
        <v>207</v>
      </c>
      <c r="D45" s="127" t="s">
        <v>175</v>
      </c>
      <c r="E45" s="127"/>
      <c r="F45" s="127"/>
      <c r="H45" s="90"/>
      <c r="I45" s="233"/>
      <c r="J45" s="379"/>
      <c r="K45" s="329">
        <v>47</v>
      </c>
      <c r="L45" s="233">
        <v>47</v>
      </c>
      <c r="M45" s="233">
        <v>47</v>
      </c>
      <c r="N45" s="233">
        <v>47</v>
      </c>
      <c r="O45" s="233">
        <v>47</v>
      </c>
      <c r="P45" s="233">
        <v>47</v>
      </c>
      <c r="Q45" s="233">
        <v>47</v>
      </c>
      <c r="R45" s="233">
        <v>47</v>
      </c>
      <c r="S45" s="233">
        <v>47</v>
      </c>
      <c r="T45" s="233">
        <v>47</v>
      </c>
      <c r="V45" s="315" t="s">
        <v>292</v>
      </c>
    </row>
    <row r="46" spans="2:22" x14ac:dyDescent="0.15">
      <c r="B46" s="40"/>
      <c r="C46" s="128"/>
      <c r="D46" s="127" t="s">
        <v>176</v>
      </c>
      <c r="E46" s="127"/>
      <c r="F46" s="127"/>
      <c r="H46" s="90"/>
      <c r="I46" s="306"/>
      <c r="J46" s="353"/>
      <c r="K46" s="306">
        <v>0.64700000000000002</v>
      </c>
      <c r="L46" s="306">
        <v>0.64700000000000002</v>
      </c>
      <c r="M46" s="306">
        <v>0.64700000000000002</v>
      </c>
      <c r="N46" s="306">
        <v>0.64700000000000002</v>
      </c>
      <c r="O46" s="306">
        <v>0.64700000000000002</v>
      </c>
      <c r="P46" s="306">
        <v>0.64700000000000002</v>
      </c>
      <c r="Q46" s="306">
        <v>0.64700000000000002</v>
      </c>
      <c r="R46" s="306">
        <v>0.64700000000000002</v>
      </c>
      <c r="S46" s="306">
        <v>0.64700000000000002</v>
      </c>
      <c r="T46" s="306">
        <v>0.64700000000000002</v>
      </c>
    </row>
    <row r="47" spans="2:22" x14ac:dyDescent="0.15">
      <c r="B47" s="40"/>
      <c r="C47" s="128"/>
      <c r="D47" s="127" t="s">
        <v>178</v>
      </c>
      <c r="E47" s="127"/>
      <c r="F47" s="127"/>
      <c r="H47" s="90"/>
      <c r="I47" s="234">
        <f>8760*I46</f>
        <v>0</v>
      </c>
      <c r="J47" s="312"/>
      <c r="K47" s="234">
        <f>8760*K46</f>
        <v>5667.72</v>
      </c>
      <c r="L47" s="234">
        <f>8760*L46</f>
        <v>5667.72</v>
      </c>
      <c r="M47" s="234">
        <f t="shared" ref="M47:O47" si="46">8760*M46</f>
        <v>5667.72</v>
      </c>
      <c r="N47" s="234">
        <f t="shared" si="46"/>
        <v>5667.72</v>
      </c>
      <c r="O47" s="234">
        <f t="shared" si="46"/>
        <v>5667.72</v>
      </c>
      <c r="P47" s="234">
        <f t="shared" ref="P47:R47" si="47">8760*P46</f>
        <v>5667.72</v>
      </c>
      <c r="Q47" s="234">
        <f t="shared" si="47"/>
        <v>5667.72</v>
      </c>
      <c r="R47" s="234">
        <f t="shared" si="47"/>
        <v>5667.72</v>
      </c>
      <c r="S47" s="234">
        <f t="shared" ref="S47:T47" si="48">8760*S46</f>
        <v>5667.72</v>
      </c>
      <c r="T47" s="234">
        <f t="shared" si="48"/>
        <v>5667.72</v>
      </c>
    </row>
    <row r="48" spans="2:22" x14ac:dyDescent="0.15">
      <c r="B48" s="40"/>
      <c r="C48" s="128"/>
      <c r="D48" s="127" t="s">
        <v>222</v>
      </c>
      <c r="E48" s="127"/>
      <c r="F48" s="127"/>
      <c r="H48" s="90"/>
      <c r="I48" s="312">
        <f>I45*I47/2</f>
        <v>0</v>
      </c>
      <c r="J48" s="312"/>
      <c r="K48" s="312">
        <f t="shared" ref="K48:R48" si="49">K45*K47/2</f>
        <v>133191.42000000001</v>
      </c>
      <c r="L48" s="312">
        <f t="shared" si="49"/>
        <v>133191.42000000001</v>
      </c>
      <c r="M48" s="312">
        <f t="shared" si="49"/>
        <v>133191.42000000001</v>
      </c>
      <c r="N48" s="312">
        <f t="shared" si="49"/>
        <v>133191.42000000001</v>
      </c>
      <c r="O48" s="312">
        <f t="shared" si="49"/>
        <v>133191.42000000001</v>
      </c>
      <c r="P48" s="312">
        <f t="shared" si="49"/>
        <v>133191.42000000001</v>
      </c>
      <c r="Q48" s="312">
        <f t="shared" si="49"/>
        <v>133191.42000000001</v>
      </c>
      <c r="R48" s="312">
        <f t="shared" si="49"/>
        <v>133191.42000000001</v>
      </c>
      <c r="S48" s="312">
        <f t="shared" ref="S48:T48" si="50">S45*S47/2</f>
        <v>133191.42000000001</v>
      </c>
      <c r="T48" s="312">
        <f t="shared" si="50"/>
        <v>133191.42000000001</v>
      </c>
    </row>
    <row r="49" spans="2:24" x14ac:dyDescent="0.15">
      <c r="B49" s="40"/>
      <c r="C49" s="128"/>
      <c r="D49" s="127" t="s">
        <v>223</v>
      </c>
      <c r="E49" s="127"/>
      <c r="F49" s="127"/>
      <c r="H49" s="90"/>
      <c r="I49" s="312">
        <f>I45*I47/4</f>
        <v>0</v>
      </c>
      <c r="J49" s="312"/>
      <c r="K49" s="312">
        <f t="shared" ref="K49:R49" si="51">K45*K47/4</f>
        <v>66595.710000000006</v>
      </c>
      <c r="L49" s="312">
        <f t="shared" si="51"/>
        <v>66595.710000000006</v>
      </c>
      <c r="M49" s="312">
        <f t="shared" si="51"/>
        <v>66595.710000000006</v>
      </c>
      <c r="N49" s="312">
        <f t="shared" si="51"/>
        <v>66595.710000000006</v>
      </c>
      <c r="O49" s="312">
        <f t="shared" si="51"/>
        <v>66595.710000000006</v>
      </c>
      <c r="P49" s="312">
        <f t="shared" si="51"/>
        <v>66595.710000000006</v>
      </c>
      <c r="Q49" s="312">
        <f t="shared" si="51"/>
        <v>66595.710000000006</v>
      </c>
      <c r="R49" s="312">
        <f t="shared" si="51"/>
        <v>66595.710000000006</v>
      </c>
      <c r="S49" s="312">
        <f t="shared" ref="S49:T49" si="52">S45*S47/4</f>
        <v>66595.710000000006</v>
      </c>
      <c r="T49" s="312">
        <f t="shared" si="52"/>
        <v>66595.710000000006</v>
      </c>
    </row>
    <row r="50" spans="2:24" x14ac:dyDescent="0.15">
      <c r="B50" s="40"/>
      <c r="C50" s="128"/>
      <c r="D50" s="127" t="s">
        <v>221</v>
      </c>
      <c r="E50" s="127"/>
      <c r="F50" s="127"/>
      <c r="H50" s="90"/>
      <c r="I50" s="312">
        <f>I45*I47/4</f>
        <v>0</v>
      </c>
      <c r="J50" s="312"/>
      <c r="K50" s="312">
        <f t="shared" ref="K50:R50" si="53">K45*K47/4</f>
        <v>66595.710000000006</v>
      </c>
      <c r="L50" s="312">
        <f t="shared" si="53"/>
        <v>66595.710000000006</v>
      </c>
      <c r="M50" s="312">
        <f t="shared" si="53"/>
        <v>66595.710000000006</v>
      </c>
      <c r="N50" s="312">
        <f t="shared" si="53"/>
        <v>66595.710000000006</v>
      </c>
      <c r="O50" s="312">
        <f t="shared" si="53"/>
        <v>66595.710000000006</v>
      </c>
      <c r="P50" s="312">
        <f t="shared" si="53"/>
        <v>66595.710000000006</v>
      </c>
      <c r="Q50" s="312">
        <f t="shared" si="53"/>
        <v>66595.710000000006</v>
      </c>
      <c r="R50" s="312">
        <f t="shared" si="53"/>
        <v>66595.710000000006</v>
      </c>
      <c r="S50" s="312">
        <f t="shared" ref="S50:T50" si="54">S45*S47/4</f>
        <v>66595.710000000006</v>
      </c>
      <c r="T50" s="312">
        <f t="shared" si="54"/>
        <v>66595.710000000006</v>
      </c>
    </row>
    <row r="51" spans="2:24" x14ac:dyDescent="0.15">
      <c r="B51" s="40"/>
      <c r="C51" s="128"/>
      <c r="D51" s="127"/>
      <c r="E51" s="127"/>
      <c r="F51" s="127"/>
      <c r="H51" s="90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25"/>
      <c r="V51" s="167"/>
      <c r="W51" s="25"/>
      <c r="X51" s="25"/>
    </row>
    <row r="52" spans="2:24" s="25" customFormat="1" x14ac:dyDescent="0.15">
      <c r="B52" s="340"/>
      <c r="C52" s="128" t="s">
        <v>314</v>
      </c>
      <c r="D52" s="300" t="s">
        <v>205</v>
      </c>
      <c r="E52" s="341"/>
      <c r="F52" s="341"/>
      <c r="G52" s="167"/>
      <c r="H52" s="91"/>
      <c r="I52" s="232"/>
      <c r="J52" s="232"/>
      <c r="K52" s="428">
        <v>290</v>
      </c>
      <c r="L52" s="428"/>
      <c r="M52" s="428"/>
      <c r="N52" s="428"/>
      <c r="O52" s="428"/>
      <c r="P52" s="428"/>
      <c r="Q52" s="428"/>
      <c r="R52" s="428"/>
      <c r="S52" s="419"/>
      <c r="T52" s="419"/>
      <c r="U52" s="347"/>
      <c r="V52" s="347"/>
    </row>
    <row r="53" spans="2:24" x14ac:dyDescent="0.15">
      <c r="B53" s="342"/>
      <c r="C53" s="128" t="s">
        <v>206</v>
      </c>
      <c r="D53" s="127" t="s">
        <v>175</v>
      </c>
      <c r="E53" s="127"/>
      <c r="F53" s="127"/>
      <c r="H53" s="343"/>
      <c r="I53" s="429"/>
      <c r="J53" s="380"/>
      <c r="K53" s="344"/>
      <c r="L53" s="344">
        <v>50</v>
      </c>
      <c r="M53" s="344">
        <v>100</v>
      </c>
      <c r="N53" s="344">
        <v>200</v>
      </c>
      <c r="O53" s="344">
        <v>200</v>
      </c>
      <c r="P53" s="344">
        <v>200</v>
      </c>
      <c r="Q53" s="344">
        <v>200</v>
      </c>
      <c r="R53" s="344">
        <v>200</v>
      </c>
      <c r="S53" s="344">
        <v>200</v>
      </c>
      <c r="T53" s="344">
        <v>200</v>
      </c>
      <c r="U53" s="348"/>
      <c r="V53" s="237" t="s">
        <v>315</v>
      </c>
      <c r="W53" s="25"/>
      <c r="X53" s="25"/>
    </row>
    <row r="54" spans="2:24" x14ac:dyDescent="0.15">
      <c r="B54" s="342"/>
      <c r="C54" s="128"/>
      <c r="D54" s="127" t="s">
        <v>176</v>
      </c>
      <c r="E54" s="127"/>
      <c r="F54" s="127"/>
      <c r="H54" s="343"/>
      <c r="I54" s="429"/>
      <c r="J54" s="380"/>
      <c r="K54" s="345">
        <v>0.64700000000000002</v>
      </c>
      <c r="L54" s="345">
        <v>0.64700000000000002</v>
      </c>
      <c r="M54" s="345">
        <v>0.64700000000000002</v>
      </c>
      <c r="N54" s="345">
        <v>0.64700000000000002</v>
      </c>
      <c r="O54" s="345">
        <v>0.64700000000000002</v>
      </c>
      <c r="P54" s="345">
        <v>0.64700000000000002</v>
      </c>
      <c r="Q54" s="345">
        <v>0.64700000000000002</v>
      </c>
      <c r="R54" s="345">
        <v>0.64700000000000002</v>
      </c>
      <c r="S54" s="345">
        <v>0.64700000000000002</v>
      </c>
      <c r="T54" s="345">
        <v>0.64700000000000002</v>
      </c>
      <c r="U54" s="349"/>
      <c r="V54" s="237"/>
      <c r="W54" s="25"/>
      <c r="X54" s="25"/>
    </row>
    <row r="55" spans="2:24" x14ac:dyDescent="0.15">
      <c r="B55" s="342"/>
      <c r="C55" s="128"/>
      <c r="D55" s="127" t="s">
        <v>178</v>
      </c>
      <c r="E55" s="127"/>
      <c r="F55" s="127"/>
      <c r="H55" s="343"/>
      <c r="I55" s="346"/>
      <c r="J55" s="381"/>
      <c r="K55" s="234">
        <f>8760*K54</f>
        <v>5667.72</v>
      </c>
      <c r="L55" s="234">
        <f>8760*L54</f>
        <v>5667.72</v>
      </c>
      <c r="M55" s="234">
        <f t="shared" ref="M55:O55" si="55">8760*M54</f>
        <v>5667.72</v>
      </c>
      <c r="N55" s="234">
        <f t="shared" si="55"/>
        <v>5667.72</v>
      </c>
      <c r="O55" s="234">
        <f t="shared" si="55"/>
        <v>5667.72</v>
      </c>
      <c r="P55" s="234">
        <f t="shared" ref="P55:R55" si="56">8760*P54</f>
        <v>5667.72</v>
      </c>
      <c r="Q55" s="234">
        <f t="shared" si="56"/>
        <v>5667.72</v>
      </c>
      <c r="R55" s="234">
        <f t="shared" si="56"/>
        <v>5667.72</v>
      </c>
      <c r="S55" s="234">
        <f t="shared" ref="S55:T55" si="57">8760*S54</f>
        <v>5667.72</v>
      </c>
      <c r="T55" s="234">
        <f t="shared" si="57"/>
        <v>5667.72</v>
      </c>
      <c r="U55" s="312"/>
      <c r="V55" s="312"/>
      <c r="W55" s="25"/>
      <c r="X55" s="25"/>
    </row>
    <row r="56" spans="2:24" x14ac:dyDescent="0.15">
      <c r="B56" s="40"/>
      <c r="C56" s="128"/>
      <c r="D56" s="127" t="s">
        <v>222</v>
      </c>
      <c r="E56" s="127"/>
      <c r="F56" s="127"/>
      <c r="H56" s="90"/>
      <c r="I56" s="312">
        <f>I53*I55/2</f>
        <v>0</v>
      </c>
      <c r="J56" s="312"/>
      <c r="K56" s="312">
        <f t="shared" ref="K56:R56" si="58">K53*K55/2</f>
        <v>0</v>
      </c>
      <c r="L56" s="312">
        <f t="shared" si="58"/>
        <v>141693</v>
      </c>
      <c r="M56" s="312">
        <f t="shared" si="58"/>
        <v>283386</v>
      </c>
      <c r="N56" s="312">
        <f t="shared" si="58"/>
        <v>566772</v>
      </c>
      <c r="O56" s="312">
        <f t="shared" si="58"/>
        <v>566772</v>
      </c>
      <c r="P56" s="312">
        <f t="shared" si="58"/>
        <v>566772</v>
      </c>
      <c r="Q56" s="312">
        <f t="shared" si="58"/>
        <v>566772</v>
      </c>
      <c r="R56" s="312">
        <f t="shared" si="58"/>
        <v>566772</v>
      </c>
      <c r="S56" s="312">
        <f t="shared" ref="S56:T56" si="59">S53*S55/2</f>
        <v>566772</v>
      </c>
      <c r="T56" s="312">
        <f t="shared" si="59"/>
        <v>566772</v>
      </c>
    </row>
    <row r="57" spans="2:24" x14ac:dyDescent="0.15">
      <c r="B57" s="40"/>
      <c r="C57" s="128"/>
      <c r="D57" s="127" t="s">
        <v>223</v>
      </c>
      <c r="E57" s="127"/>
      <c r="F57" s="127"/>
      <c r="H57" s="90"/>
      <c r="I57" s="312">
        <f>I53*I55/4</f>
        <v>0</v>
      </c>
      <c r="J57" s="312"/>
      <c r="K57" s="312">
        <f t="shared" ref="K57:R57" si="60">K53*K55/4</f>
        <v>0</v>
      </c>
      <c r="L57" s="312">
        <f t="shared" si="60"/>
        <v>70846.5</v>
      </c>
      <c r="M57" s="312">
        <f t="shared" si="60"/>
        <v>141693</v>
      </c>
      <c r="N57" s="312">
        <f t="shared" si="60"/>
        <v>283386</v>
      </c>
      <c r="O57" s="312">
        <f t="shared" si="60"/>
        <v>283386</v>
      </c>
      <c r="P57" s="312">
        <f t="shared" si="60"/>
        <v>283386</v>
      </c>
      <c r="Q57" s="312">
        <f t="shared" si="60"/>
        <v>283386</v>
      </c>
      <c r="R57" s="312">
        <f t="shared" si="60"/>
        <v>283386</v>
      </c>
      <c r="S57" s="312">
        <f t="shared" ref="S57:T57" si="61">S53*S55/4</f>
        <v>283386</v>
      </c>
      <c r="T57" s="312">
        <f t="shared" si="61"/>
        <v>283386</v>
      </c>
    </row>
    <row r="58" spans="2:24" x14ac:dyDescent="0.15">
      <c r="B58" s="40"/>
      <c r="C58" s="93"/>
      <c r="D58" s="127" t="s">
        <v>221</v>
      </c>
      <c r="E58" s="127"/>
      <c r="F58" s="127"/>
      <c r="H58" s="90"/>
      <c r="I58" s="312">
        <f>I53*I55/4</f>
        <v>0</v>
      </c>
      <c r="J58" s="312"/>
      <c r="K58" s="312">
        <f t="shared" ref="K58:R58" si="62">K53*K55/4</f>
        <v>0</v>
      </c>
      <c r="L58" s="312">
        <f t="shared" si="62"/>
        <v>70846.5</v>
      </c>
      <c r="M58" s="312">
        <f t="shared" si="62"/>
        <v>141693</v>
      </c>
      <c r="N58" s="312">
        <f t="shared" si="62"/>
        <v>283386</v>
      </c>
      <c r="O58" s="312">
        <f t="shared" si="62"/>
        <v>283386</v>
      </c>
      <c r="P58" s="312">
        <f t="shared" si="62"/>
        <v>283386</v>
      </c>
      <c r="Q58" s="312">
        <f t="shared" si="62"/>
        <v>283386</v>
      </c>
      <c r="R58" s="312">
        <f t="shared" si="62"/>
        <v>283386</v>
      </c>
      <c r="S58" s="312">
        <f t="shared" ref="S58:T58" si="63">S53*S55/4</f>
        <v>283386</v>
      </c>
      <c r="T58" s="312">
        <f t="shared" si="63"/>
        <v>283386</v>
      </c>
    </row>
    <row r="59" spans="2:24" x14ac:dyDescent="0.15">
      <c r="B59" s="40"/>
      <c r="C59" s="128"/>
      <c r="D59" s="127"/>
      <c r="E59" s="127"/>
      <c r="F59" s="127"/>
      <c r="H59" s="90"/>
      <c r="I59" s="312"/>
      <c r="J59" s="312"/>
      <c r="K59" s="339"/>
      <c r="L59" s="339"/>
      <c r="M59" s="339"/>
      <c r="N59" s="339"/>
      <c r="O59" s="339"/>
      <c r="P59" s="339"/>
      <c r="Q59" s="339"/>
      <c r="R59" s="339"/>
      <c r="S59" s="339"/>
      <c r="T59" s="339"/>
    </row>
    <row r="60" spans="2:24" s="25" customFormat="1" x14ac:dyDescent="0.15">
      <c r="B60" s="340"/>
      <c r="C60" s="128" t="s">
        <v>200</v>
      </c>
      <c r="D60" s="300" t="s">
        <v>205</v>
      </c>
      <c r="E60" s="341"/>
      <c r="F60" s="341"/>
      <c r="G60" s="167"/>
      <c r="H60" s="91"/>
      <c r="I60" s="232"/>
      <c r="J60" s="232"/>
      <c r="K60" s="428">
        <v>189</v>
      </c>
      <c r="L60" s="428"/>
      <c r="M60" s="428"/>
      <c r="N60" s="428"/>
      <c r="O60" s="428"/>
      <c r="P60" s="428"/>
      <c r="Q60" s="428"/>
      <c r="R60" s="428"/>
      <c r="S60" s="419"/>
      <c r="T60" s="419"/>
      <c r="U60" s="347"/>
      <c r="V60" s="237"/>
    </row>
    <row r="61" spans="2:24" x14ac:dyDescent="0.15">
      <c r="B61" s="342"/>
      <c r="C61" s="128" t="s">
        <v>206</v>
      </c>
      <c r="D61" s="127" t="s">
        <v>175</v>
      </c>
      <c r="E61" s="127"/>
      <c r="F61" s="127"/>
      <c r="G61" s="387"/>
      <c r="H61" s="343"/>
      <c r="I61" s="429"/>
      <c r="J61" s="380"/>
      <c r="K61" s="344"/>
      <c r="L61" s="344"/>
      <c r="M61" s="344"/>
      <c r="N61" s="344"/>
      <c r="O61" s="344">
        <v>100</v>
      </c>
      <c r="P61" s="344">
        <v>150</v>
      </c>
      <c r="Q61" s="344">
        <v>150</v>
      </c>
      <c r="R61" s="344">
        <v>150</v>
      </c>
      <c r="S61" s="344">
        <v>150</v>
      </c>
      <c r="T61" s="344">
        <v>150</v>
      </c>
      <c r="U61" s="348"/>
      <c r="V61" s="237" t="s">
        <v>315</v>
      </c>
      <c r="W61" s="25"/>
      <c r="X61" s="25"/>
    </row>
    <row r="62" spans="2:24" x14ac:dyDescent="0.15">
      <c r="B62" s="342"/>
      <c r="C62" s="128"/>
      <c r="D62" s="127" t="s">
        <v>176</v>
      </c>
      <c r="E62" s="127"/>
      <c r="F62" s="127"/>
      <c r="G62" s="387"/>
      <c r="H62" s="343"/>
      <c r="I62" s="429"/>
      <c r="J62" s="380"/>
      <c r="K62" s="345">
        <v>0.64700000000000002</v>
      </c>
      <c r="L62" s="345">
        <v>0.64700000000000002</v>
      </c>
      <c r="M62" s="345">
        <v>0.64700000000000002</v>
      </c>
      <c r="N62" s="345">
        <v>0.64700000000000002</v>
      </c>
      <c r="O62" s="345">
        <v>0.64700000000000002</v>
      </c>
      <c r="P62" s="345">
        <v>0.64700000000000002</v>
      </c>
      <c r="Q62" s="345">
        <v>0.64700000000000002</v>
      </c>
      <c r="R62" s="345">
        <v>0.64700000000000002</v>
      </c>
      <c r="S62" s="345">
        <v>0.64700000000000002</v>
      </c>
      <c r="T62" s="345">
        <v>0.64700000000000002</v>
      </c>
      <c r="U62" s="349"/>
      <c r="V62" s="349"/>
      <c r="W62" s="25"/>
      <c r="X62" s="25"/>
    </row>
    <row r="63" spans="2:24" x14ac:dyDescent="0.15">
      <c r="B63" s="342"/>
      <c r="C63" s="128"/>
      <c r="D63" s="127" t="s">
        <v>178</v>
      </c>
      <c r="E63" s="127"/>
      <c r="F63" s="127"/>
      <c r="G63" s="387"/>
      <c r="H63" s="343"/>
      <c r="I63" s="346"/>
      <c r="J63" s="381"/>
      <c r="K63" s="234">
        <f>8760*K62</f>
        <v>5667.72</v>
      </c>
      <c r="L63" s="234">
        <f>8760*L62</f>
        <v>5667.72</v>
      </c>
      <c r="M63" s="234">
        <f t="shared" ref="M63:R63" si="64">8760*M62</f>
        <v>5667.72</v>
      </c>
      <c r="N63" s="234">
        <f t="shared" si="64"/>
        <v>5667.72</v>
      </c>
      <c r="O63" s="234">
        <f t="shared" si="64"/>
        <v>5667.72</v>
      </c>
      <c r="P63" s="234">
        <f t="shared" si="64"/>
        <v>5667.72</v>
      </c>
      <c r="Q63" s="234">
        <f t="shared" si="64"/>
        <v>5667.72</v>
      </c>
      <c r="R63" s="234">
        <f t="shared" si="64"/>
        <v>5667.72</v>
      </c>
      <c r="S63" s="234">
        <f t="shared" ref="S63:T63" si="65">8760*S62</f>
        <v>5667.72</v>
      </c>
      <c r="T63" s="234">
        <f t="shared" si="65"/>
        <v>5667.72</v>
      </c>
      <c r="U63" s="312"/>
      <c r="V63" s="312"/>
      <c r="W63" s="25"/>
      <c r="X63" s="25"/>
    </row>
    <row r="64" spans="2:24" x14ac:dyDescent="0.15">
      <c r="B64" s="40"/>
      <c r="C64" s="128"/>
      <c r="D64" s="127" t="s">
        <v>222</v>
      </c>
      <c r="E64" s="127"/>
      <c r="F64" s="127"/>
      <c r="G64" s="387"/>
      <c r="H64" s="90"/>
      <c r="I64" s="312">
        <f>I61*I63/2</f>
        <v>0</v>
      </c>
      <c r="J64" s="312"/>
      <c r="K64" s="312">
        <f t="shared" ref="K64:R64" si="66">K61*K63/2</f>
        <v>0</v>
      </c>
      <c r="L64" s="312">
        <f t="shared" si="66"/>
        <v>0</v>
      </c>
      <c r="M64" s="312">
        <f t="shared" si="66"/>
        <v>0</v>
      </c>
      <c r="N64" s="312">
        <f t="shared" si="66"/>
        <v>0</v>
      </c>
      <c r="O64" s="312">
        <f t="shared" si="66"/>
        <v>283386</v>
      </c>
      <c r="P64" s="312">
        <f t="shared" si="66"/>
        <v>425079</v>
      </c>
      <c r="Q64" s="312">
        <f t="shared" si="66"/>
        <v>425079</v>
      </c>
      <c r="R64" s="312">
        <f t="shared" si="66"/>
        <v>425079</v>
      </c>
      <c r="S64" s="312">
        <f t="shared" ref="S64:T64" si="67">S61*S63/2</f>
        <v>425079</v>
      </c>
      <c r="T64" s="312">
        <f t="shared" si="67"/>
        <v>425079</v>
      </c>
      <c r="V64" s="387"/>
    </row>
    <row r="65" spans="2:27" x14ac:dyDescent="0.15">
      <c r="B65" s="40"/>
      <c r="C65" s="128"/>
      <c r="D65" s="127" t="s">
        <v>223</v>
      </c>
      <c r="E65" s="127"/>
      <c r="F65" s="127"/>
      <c r="G65" s="387"/>
      <c r="H65" s="90"/>
      <c r="I65" s="312">
        <f>I61*I63/4</f>
        <v>0</v>
      </c>
      <c r="J65" s="312"/>
      <c r="K65" s="312">
        <f t="shared" ref="K65:R65" si="68">K61*K63/4</f>
        <v>0</v>
      </c>
      <c r="L65" s="312">
        <f t="shared" si="68"/>
        <v>0</v>
      </c>
      <c r="M65" s="312">
        <f t="shared" si="68"/>
        <v>0</v>
      </c>
      <c r="N65" s="312">
        <f t="shared" si="68"/>
        <v>0</v>
      </c>
      <c r="O65" s="312">
        <f t="shared" si="68"/>
        <v>141693</v>
      </c>
      <c r="P65" s="312">
        <f t="shared" si="68"/>
        <v>212539.5</v>
      </c>
      <c r="Q65" s="312">
        <f t="shared" si="68"/>
        <v>212539.5</v>
      </c>
      <c r="R65" s="312">
        <f t="shared" si="68"/>
        <v>212539.5</v>
      </c>
      <c r="S65" s="312">
        <f t="shared" ref="S65:T65" si="69">S61*S63/4</f>
        <v>212539.5</v>
      </c>
      <c r="T65" s="312">
        <f t="shared" si="69"/>
        <v>212539.5</v>
      </c>
      <c r="V65" s="387"/>
    </row>
    <row r="66" spans="2:27" x14ac:dyDescent="0.15">
      <c r="B66" s="40"/>
      <c r="C66" s="93"/>
      <c r="D66" s="127" t="s">
        <v>221</v>
      </c>
      <c r="E66" s="127"/>
      <c r="F66" s="127"/>
      <c r="G66" s="387"/>
      <c r="H66" s="90"/>
      <c r="I66" s="312">
        <f>I61*I63/4</f>
        <v>0</v>
      </c>
      <c r="J66" s="312"/>
      <c r="K66" s="312">
        <f t="shared" ref="K66:R66" si="70">K61*K63/4</f>
        <v>0</v>
      </c>
      <c r="L66" s="312">
        <f t="shared" si="70"/>
        <v>0</v>
      </c>
      <c r="M66" s="312">
        <f t="shared" si="70"/>
        <v>0</v>
      </c>
      <c r="N66" s="312">
        <f t="shared" si="70"/>
        <v>0</v>
      </c>
      <c r="O66" s="312">
        <f t="shared" si="70"/>
        <v>141693</v>
      </c>
      <c r="P66" s="312">
        <f t="shared" si="70"/>
        <v>212539.5</v>
      </c>
      <c r="Q66" s="312">
        <f t="shared" si="70"/>
        <v>212539.5</v>
      </c>
      <c r="R66" s="312">
        <f t="shared" si="70"/>
        <v>212539.5</v>
      </c>
      <c r="S66" s="312">
        <f t="shared" ref="S66:T66" si="71">S61*S63/4</f>
        <v>212539.5</v>
      </c>
      <c r="T66" s="312">
        <f t="shared" si="71"/>
        <v>212539.5</v>
      </c>
      <c r="V66" s="387"/>
    </row>
    <row r="67" spans="2:27" x14ac:dyDescent="0.15">
      <c r="B67" s="40"/>
      <c r="C67" s="128"/>
      <c r="D67" s="127"/>
      <c r="E67" s="127"/>
      <c r="F67" s="127"/>
      <c r="G67" s="387"/>
      <c r="H67" s="90"/>
      <c r="I67" s="312"/>
      <c r="J67" s="312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V67" s="387"/>
    </row>
    <row r="68" spans="2:27" x14ac:dyDescent="0.15">
      <c r="B68" s="40"/>
      <c r="C68" s="106" t="s">
        <v>230</v>
      </c>
      <c r="D68" s="127" t="s">
        <v>222</v>
      </c>
      <c r="E68" s="127"/>
      <c r="F68" s="127"/>
      <c r="H68" s="90"/>
      <c r="I68" s="312">
        <f>I57*I59/2</f>
        <v>0</v>
      </c>
      <c r="J68" s="312"/>
      <c r="K68" s="312">
        <f t="shared" ref="K68:R70" si="72">SUM(K40,K48,K56,K64)</f>
        <v>204037.92</v>
      </c>
      <c r="L68" s="312">
        <f t="shared" si="72"/>
        <v>476088.48</v>
      </c>
      <c r="M68" s="312">
        <f t="shared" si="72"/>
        <v>617781.48</v>
      </c>
      <c r="N68" s="312">
        <f t="shared" si="72"/>
        <v>901167.48</v>
      </c>
      <c r="O68" s="312">
        <f t="shared" si="72"/>
        <v>1184553.48</v>
      </c>
      <c r="P68" s="312">
        <f t="shared" si="72"/>
        <v>1326246.48</v>
      </c>
      <c r="Q68" s="312">
        <f t="shared" si="72"/>
        <v>1326246.48</v>
      </c>
      <c r="R68" s="312">
        <f t="shared" si="72"/>
        <v>1326246.48</v>
      </c>
      <c r="S68" s="312">
        <f t="shared" ref="S68:T68" si="73">SUM(S40,S48,S56,S64)</f>
        <v>1326246.48</v>
      </c>
      <c r="T68" s="312">
        <f t="shared" si="73"/>
        <v>1326246.48</v>
      </c>
      <c r="V68" s="322"/>
    </row>
    <row r="69" spans="2:27" x14ac:dyDescent="0.15">
      <c r="B69" s="40"/>
      <c r="C69" s="128"/>
      <c r="D69" s="127" t="s">
        <v>223</v>
      </c>
      <c r="E69" s="127"/>
      <c r="F69" s="127"/>
      <c r="H69" s="90"/>
      <c r="I69" s="312">
        <f>I57*I59/4</f>
        <v>0</v>
      </c>
      <c r="J69" s="312"/>
      <c r="K69" s="312">
        <f t="shared" si="72"/>
        <v>102018.96</v>
      </c>
      <c r="L69" s="312">
        <f t="shared" si="72"/>
        <v>238044.24</v>
      </c>
      <c r="M69" s="312">
        <f t="shared" si="72"/>
        <v>308890.74</v>
      </c>
      <c r="N69" s="312">
        <f t="shared" si="72"/>
        <v>450583.74</v>
      </c>
      <c r="O69" s="312">
        <f t="shared" si="72"/>
        <v>592276.74</v>
      </c>
      <c r="P69" s="312">
        <f t="shared" si="72"/>
        <v>663123.24</v>
      </c>
      <c r="Q69" s="312">
        <f t="shared" si="72"/>
        <v>663123.24</v>
      </c>
      <c r="R69" s="312">
        <f t="shared" si="72"/>
        <v>663123.24</v>
      </c>
      <c r="S69" s="312">
        <f t="shared" ref="S69:T69" si="74">SUM(S41,S49,S57,S65)</f>
        <v>663123.24</v>
      </c>
      <c r="T69" s="312">
        <f t="shared" si="74"/>
        <v>663123.24</v>
      </c>
      <c r="V69" s="322"/>
    </row>
    <row r="70" spans="2:27" x14ac:dyDescent="0.15">
      <c r="B70" s="40"/>
      <c r="C70" s="93"/>
      <c r="D70" s="127" t="s">
        <v>221</v>
      </c>
      <c r="E70" s="127"/>
      <c r="F70" s="127"/>
      <c r="H70" s="90"/>
      <c r="I70" s="312">
        <f>I57*I59/4</f>
        <v>0</v>
      </c>
      <c r="J70" s="312"/>
      <c r="K70" s="312">
        <f t="shared" si="72"/>
        <v>102018.96</v>
      </c>
      <c r="L70" s="312">
        <f t="shared" si="72"/>
        <v>238044.24</v>
      </c>
      <c r="M70" s="312">
        <f t="shared" si="72"/>
        <v>308890.74</v>
      </c>
      <c r="N70" s="312">
        <f t="shared" si="72"/>
        <v>450583.74</v>
      </c>
      <c r="O70" s="312">
        <f t="shared" si="72"/>
        <v>592276.74</v>
      </c>
      <c r="P70" s="312">
        <f t="shared" si="72"/>
        <v>663123.24</v>
      </c>
      <c r="Q70" s="312">
        <f t="shared" si="72"/>
        <v>663123.24</v>
      </c>
      <c r="R70" s="312">
        <f t="shared" si="72"/>
        <v>663123.24</v>
      </c>
      <c r="S70" s="312">
        <f t="shared" ref="S70:T70" si="75">SUM(S42,S50,S58,S66)</f>
        <v>663123.24</v>
      </c>
      <c r="T70" s="312">
        <f t="shared" si="75"/>
        <v>663123.24</v>
      </c>
      <c r="V70" s="322"/>
    </row>
    <row r="71" spans="2:27" x14ac:dyDescent="0.15">
      <c r="B71" s="40"/>
      <c r="C71" s="93"/>
      <c r="D71" s="127"/>
      <c r="E71" s="127"/>
      <c r="F71" s="127"/>
      <c r="H71" s="90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V71" s="322"/>
    </row>
    <row r="72" spans="2:27" x14ac:dyDescent="0.15">
      <c r="B72" s="40"/>
      <c r="D72" s="27" t="s">
        <v>228</v>
      </c>
      <c r="E72" s="127"/>
      <c r="F72" s="127"/>
      <c r="H72" s="90"/>
      <c r="I72" s="312">
        <f>SUM(I48:I50)</f>
        <v>0</v>
      </c>
      <c r="J72" s="312"/>
      <c r="K72" s="339">
        <f t="shared" ref="K72:R72" si="76">SUM(K68:K70)</f>
        <v>408075.84</v>
      </c>
      <c r="L72" s="339">
        <f t="shared" si="76"/>
        <v>952176.96</v>
      </c>
      <c r="M72" s="339">
        <f t="shared" si="76"/>
        <v>1235562.96</v>
      </c>
      <c r="N72" s="339">
        <f t="shared" si="76"/>
        <v>1802334.96</v>
      </c>
      <c r="O72" s="339">
        <f t="shared" si="76"/>
        <v>2369106.96</v>
      </c>
      <c r="P72" s="339">
        <f t="shared" si="76"/>
        <v>2652492.96</v>
      </c>
      <c r="Q72" s="339">
        <f t="shared" si="76"/>
        <v>2652492.96</v>
      </c>
      <c r="R72" s="339">
        <f t="shared" si="76"/>
        <v>2652492.96</v>
      </c>
      <c r="S72" s="339">
        <f t="shared" ref="S72:T72" si="77">SUM(S68:S70)</f>
        <v>2652492.96</v>
      </c>
      <c r="T72" s="339">
        <f t="shared" si="77"/>
        <v>2652492.96</v>
      </c>
      <c r="V72" s="352"/>
    </row>
    <row r="73" spans="2:27" s="25" customFormat="1" ht="12" customHeight="1" x14ac:dyDescent="0.15">
      <c r="B73" s="56"/>
      <c r="C73" s="93"/>
      <c r="D73" s="107"/>
      <c r="E73" s="107"/>
      <c r="F73" s="107"/>
      <c r="G73" s="167"/>
      <c r="H73" s="91"/>
      <c r="I73" s="232"/>
      <c r="J73" s="232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/>
      <c r="V73" s="316"/>
    </row>
    <row r="74" spans="2:27" s="25" customFormat="1" x14ac:dyDescent="0.15">
      <c r="B74" s="56"/>
      <c r="C74" s="128"/>
      <c r="D74" s="127"/>
      <c r="E74" s="324" t="s">
        <v>209</v>
      </c>
      <c r="F74" s="127"/>
      <c r="G74" s="368" t="s">
        <v>213</v>
      </c>
      <c r="H74" s="90"/>
      <c r="I74" s="311"/>
      <c r="J74" s="311"/>
      <c r="K74" s="312">
        <f t="shared" ref="K74:T74" si="78">SUM(K75:K77)</f>
        <v>305</v>
      </c>
      <c r="L74" s="312">
        <f t="shared" si="78"/>
        <v>510</v>
      </c>
      <c r="M74" s="312">
        <f t="shared" si="78"/>
        <v>970</v>
      </c>
      <c r="N74" s="312">
        <f t="shared" si="78"/>
        <v>1430</v>
      </c>
      <c r="O74" s="312">
        <f t="shared" si="78"/>
        <v>1800</v>
      </c>
      <c r="P74" s="312">
        <f t="shared" si="78"/>
        <v>2000</v>
      </c>
      <c r="Q74" s="312">
        <f t="shared" si="78"/>
        <v>2000</v>
      </c>
      <c r="R74" s="312">
        <f t="shared" si="78"/>
        <v>2000</v>
      </c>
      <c r="S74" s="312">
        <f t="shared" si="78"/>
        <v>2000</v>
      </c>
      <c r="T74" s="312">
        <f t="shared" si="78"/>
        <v>2000</v>
      </c>
      <c r="V74" s="167"/>
    </row>
    <row r="75" spans="2:27" s="25" customFormat="1" x14ac:dyDescent="0.15">
      <c r="B75" s="316"/>
      <c r="C75" s="45" t="s">
        <v>208</v>
      </c>
      <c r="D75" s="127" t="s">
        <v>211</v>
      </c>
      <c r="E75" s="335">
        <v>125</v>
      </c>
      <c r="F75" s="127" t="s">
        <v>189</v>
      </c>
      <c r="G75" s="336">
        <v>6</v>
      </c>
      <c r="H75" s="90"/>
      <c r="I75" s="333">
        <v>209</v>
      </c>
      <c r="J75" s="312"/>
      <c r="K75" s="333">
        <v>250</v>
      </c>
      <c r="L75" s="333">
        <v>400</v>
      </c>
      <c r="M75" s="333">
        <v>800</v>
      </c>
      <c r="N75" s="333">
        <v>1200</v>
      </c>
      <c r="O75" s="333">
        <v>1500</v>
      </c>
      <c r="P75" s="333">
        <v>1600</v>
      </c>
      <c r="Q75" s="333">
        <v>1600</v>
      </c>
      <c r="R75" s="333">
        <v>1600</v>
      </c>
      <c r="S75" s="333">
        <v>1600</v>
      </c>
      <c r="T75" s="333">
        <v>1600</v>
      </c>
      <c r="V75" s="167"/>
      <c r="AA75" s="313"/>
    </row>
    <row r="76" spans="2:27" s="25" customFormat="1" x14ac:dyDescent="0.15">
      <c r="B76" s="56"/>
      <c r="C76" s="128"/>
      <c r="D76" s="127" t="s">
        <v>216</v>
      </c>
      <c r="E76" s="335">
        <v>250</v>
      </c>
      <c r="F76" s="127" t="s">
        <v>189</v>
      </c>
      <c r="G76" s="337">
        <v>6</v>
      </c>
      <c r="H76" s="90"/>
      <c r="I76" s="334">
        <v>0</v>
      </c>
      <c r="J76" s="311"/>
      <c r="K76" s="333">
        <v>50</v>
      </c>
      <c r="L76" s="333">
        <v>100</v>
      </c>
      <c r="M76" s="333">
        <v>150</v>
      </c>
      <c r="N76" s="333">
        <v>200</v>
      </c>
      <c r="O76" s="333">
        <v>250</v>
      </c>
      <c r="P76" s="333">
        <v>350</v>
      </c>
      <c r="Q76" s="333">
        <v>350</v>
      </c>
      <c r="R76" s="333">
        <v>350</v>
      </c>
      <c r="S76" s="333">
        <v>350</v>
      </c>
      <c r="T76" s="333">
        <v>350</v>
      </c>
      <c r="V76" s="167"/>
      <c r="AA76" s="313"/>
    </row>
    <row r="77" spans="2:27" s="25" customFormat="1" x14ac:dyDescent="0.15">
      <c r="B77" s="56"/>
      <c r="C77" s="128"/>
      <c r="D77" s="127" t="s">
        <v>217</v>
      </c>
      <c r="E77" s="335">
        <v>5000</v>
      </c>
      <c r="F77" s="127" t="s">
        <v>189</v>
      </c>
      <c r="G77" s="337">
        <v>6</v>
      </c>
      <c r="H77" s="90"/>
      <c r="I77" s="334">
        <v>0</v>
      </c>
      <c r="J77" s="311"/>
      <c r="K77" s="333">
        <v>5</v>
      </c>
      <c r="L77" s="333">
        <v>10</v>
      </c>
      <c r="M77" s="333">
        <v>20</v>
      </c>
      <c r="N77" s="333">
        <v>30</v>
      </c>
      <c r="O77" s="333">
        <v>50</v>
      </c>
      <c r="P77" s="333">
        <v>50</v>
      </c>
      <c r="Q77" s="333">
        <v>50</v>
      </c>
      <c r="R77" s="333">
        <v>50</v>
      </c>
      <c r="S77" s="333">
        <v>50</v>
      </c>
      <c r="T77" s="333">
        <v>50</v>
      </c>
      <c r="V77" s="167"/>
      <c r="AA77" s="313"/>
    </row>
    <row r="78" spans="2:27" s="25" customFormat="1" x14ac:dyDescent="0.15">
      <c r="B78" s="56"/>
      <c r="C78" s="128"/>
      <c r="D78" s="127" t="s">
        <v>218</v>
      </c>
      <c r="E78" s="335">
        <v>1500</v>
      </c>
      <c r="F78" s="127" t="s">
        <v>189</v>
      </c>
      <c r="G78" s="337">
        <v>6</v>
      </c>
      <c r="H78" s="90"/>
      <c r="I78" s="334">
        <v>0</v>
      </c>
      <c r="J78" s="311"/>
      <c r="K78" s="333">
        <v>20</v>
      </c>
      <c r="L78" s="333">
        <v>30</v>
      </c>
      <c r="M78" s="333">
        <v>65</v>
      </c>
      <c r="N78" s="333">
        <v>100</v>
      </c>
      <c r="O78" s="333">
        <v>100</v>
      </c>
      <c r="P78" s="333">
        <v>100</v>
      </c>
      <c r="Q78" s="333">
        <v>100</v>
      </c>
      <c r="R78" s="333">
        <v>100</v>
      </c>
      <c r="S78" s="333">
        <v>100</v>
      </c>
      <c r="T78" s="333">
        <v>100</v>
      </c>
      <c r="V78" s="323" t="s">
        <v>313</v>
      </c>
      <c r="AA78" s="313"/>
    </row>
    <row r="79" spans="2:27" s="25" customFormat="1" x14ac:dyDescent="0.15">
      <c r="B79" s="56"/>
      <c r="C79" s="128"/>
      <c r="D79" s="127" t="s">
        <v>212</v>
      </c>
      <c r="E79" s="335">
        <v>500</v>
      </c>
      <c r="F79" s="127" t="s">
        <v>189</v>
      </c>
      <c r="G79" s="337">
        <v>24</v>
      </c>
      <c r="H79" s="90"/>
      <c r="I79" s="334">
        <v>0</v>
      </c>
      <c r="J79" s="311"/>
      <c r="K79" s="333">
        <v>25</v>
      </c>
      <c r="L79" s="333">
        <v>50</v>
      </c>
      <c r="M79" s="333">
        <v>80</v>
      </c>
      <c r="N79" s="333">
        <v>100</v>
      </c>
      <c r="O79" s="333">
        <v>150</v>
      </c>
      <c r="P79" s="333">
        <v>200</v>
      </c>
      <c r="Q79" s="333">
        <v>200</v>
      </c>
      <c r="R79" s="333">
        <v>200</v>
      </c>
      <c r="S79" s="333">
        <v>200</v>
      </c>
      <c r="T79" s="333">
        <v>200</v>
      </c>
      <c r="V79" s="323" t="s">
        <v>215</v>
      </c>
      <c r="AA79" s="313"/>
    </row>
    <row r="80" spans="2:27" s="25" customFormat="1" x14ac:dyDescent="0.15">
      <c r="B80" s="56"/>
      <c r="C80" s="128"/>
      <c r="D80" s="127"/>
      <c r="E80" s="127"/>
      <c r="F80" s="127"/>
      <c r="G80" s="167"/>
      <c r="H80" s="90"/>
      <c r="I80" s="311"/>
      <c r="J80" s="311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V80" s="323"/>
    </row>
    <row r="81" spans="2:23" s="25" customFormat="1" x14ac:dyDescent="0.15">
      <c r="B81" s="56"/>
      <c r="C81" s="128"/>
      <c r="D81" s="127" t="s">
        <v>211</v>
      </c>
      <c r="E81" s="127"/>
      <c r="F81" s="127"/>
      <c r="G81" s="167"/>
      <c r="H81" s="90"/>
      <c r="I81" s="313">
        <f>I75*$E75*$G75*365/1000</f>
        <v>57213.75</v>
      </c>
      <c r="J81" s="311"/>
      <c r="K81" s="313">
        <f t="shared" ref="K81:R81" si="79">K75*$E75*$G75*365/1000</f>
        <v>68437.5</v>
      </c>
      <c r="L81" s="313">
        <f t="shared" si="79"/>
        <v>109500</v>
      </c>
      <c r="M81" s="313">
        <f t="shared" si="79"/>
        <v>219000</v>
      </c>
      <c r="N81" s="313">
        <f t="shared" si="79"/>
        <v>328500</v>
      </c>
      <c r="O81" s="313">
        <f t="shared" si="79"/>
        <v>410625</v>
      </c>
      <c r="P81" s="313">
        <f t="shared" si="79"/>
        <v>438000</v>
      </c>
      <c r="Q81" s="313">
        <f t="shared" si="79"/>
        <v>438000</v>
      </c>
      <c r="R81" s="313">
        <f t="shared" si="79"/>
        <v>438000</v>
      </c>
      <c r="S81" s="313">
        <f t="shared" ref="S81:T81" si="80">S75*$E75*$G75*365/1000</f>
        <v>438000</v>
      </c>
      <c r="T81" s="313">
        <f t="shared" si="80"/>
        <v>438000</v>
      </c>
      <c r="V81" s="354">
        <f>K81/K$91</f>
        <v>0.22855353788353161</v>
      </c>
      <c r="W81" s="211">
        <f>O81/O$91</f>
        <v>0.21610420367081112</v>
      </c>
    </row>
    <row r="82" spans="2:23" s="25" customFormat="1" x14ac:dyDescent="0.15">
      <c r="B82" s="56"/>
      <c r="C82" s="128"/>
      <c r="D82" s="127" t="s">
        <v>216</v>
      </c>
      <c r="E82" s="127"/>
      <c r="F82" s="127"/>
      <c r="G82" s="167"/>
      <c r="H82" s="90"/>
      <c r="I82" s="313">
        <f t="shared" ref="I82" si="81">I76*$E76*$G76*300/1000</f>
        <v>0</v>
      </c>
      <c r="J82" s="311"/>
      <c r="K82" s="313">
        <f t="shared" ref="K82:O84" si="82">K76*$E76*$G76*300/1000</f>
        <v>22500</v>
      </c>
      <c r="L82" s="313">
        <f t="shared" si="82"/>
        <v>45000</v>
      </c>
      <c r="M82" s="313">
        <f t="shared" si="82"/>
        <v>67500</v>
      </c>
      <c r="N82" s="313">
        <f t="shared" si="82"/>
        <v>90000</v>
      </c>
      <c r="O82" s="313">
        <f t="shared" si="82"/>
        <v>112500</v>
      </c>
      <c r="P82" s="313">
        <f t="shared" ref="P82:R82" si="83">P76*$E76*$G76*300/1000</f>
        <v>157500</v>
      </c>
      <c r="Q82" s="313">
        <f t="shared" si="83"/>
        <v>157500</v>
      </c>
      <c r="R82" s="313">
        <f t="shared" si="83"/>
        <v>157500</v>
      </c>
      <c r="S82" s="313">
        <f t="shared" ref="S82:T82" si="84">S76*$E76*$G76*300/1000</f>
        <v>157500</v>
      </c>
      <c r="T82" s="313">
        <f t="shared" si="84"/>
        <v>157500</v>
      </c>
      <c r="V82" s="354">
        <f>K82/K$91</f>
        <v>7.5140889167188474E-2</v>
      </c>
      <c r="W82" s="211">
        <f>O82/O$91</f>
        <v>5.9206631142687982E-2</v>
      </c>
    </row>
    <row r="83" spans="2:23" s="25" customFormat="1" x14ac:dyDescent="0.15">
      <c r="B83" s="56"/>
      <c r="C83" s="128"/>
      <c r="D83" s="127" t="s">
        <v>217</v>
      </c>
      <c r="E83" s="127"/>
      <c r="F83" s="127"/>
      <c r="G83" s="167"/>
      <c r="H83" s="90"/>
      <c r="I83" s="313">
        <f t="shared" ref="I83" si="85">I77*$E77*$G77*300/1000</f>
        <v>0</v>
      </c>
      <c r="J83" s="311"/>
      <c r="K83" s="313">
        <f t="shared" si="82"/>
        <v>45000</v>
      </c>
      <c r="L83" s="313">
        <f t="shared" si="82"/>
        <v>90000</v>
      </c>
      <c r="M83" s="313">
        <f t="shared" si="82"/>
        <v>180000</v>
      </c>
      <c r="N83" s="313">
        <f t="shared" si="82"/>
        <v>270000</v>
      </c>
      <c r="O83" s="313">
        <f t="shared" si="82"/>
        <v>450000</v>
      </c>
      <c r="P83" s="313">
        <f t="shared" ref="P83:R83" si="86">P77*$E77*$G77*300/1000</f>
        <v>450000</v>
      </c>
      <c r="Q83" s="313">
        <f t="shared" si="86"/>
        <v>450000</v>
      </c>
      <c r="R83" s="313">
        <f t="shared" si="86"/>
        <v>450000</v>
      </c>
      <c r="S83" s="313">
        <f t="shared" ref="S83:T83" si="87">S77*$E77*$G77*300/1000</f>
        <v>450000</v>
      </c>
      <c r="T83" s="313">
        <f t="shared" si="87"/>
        <v>450000</v>
      </c>
      <c r="V83" s="354">
        <f>K83/K$91</f>
        <v>0.15028177833437695</v>
      </c>
      <c r="W83" s="211">
        <f>O83/O$91</f>
        <v>0.23682652457075193</v>
      </c>
    </row>
    <row r="84" spans="2:23" s="25" customFormat="1" x14ac:dyDescent="0.15">
      <c r="B84" s="56"/>
      <c r="C84" s="128"/>
      <c r="D84" s="127" t="s">
        <v>218</v>
      </c>
      <c r="E84" s="127"/>
      <c r="F84" s="127"/>
      <c r="G84" s="167"/>
      <c r="H84" s="90"/>
      <c r="I84" s="313">
        <f t="shared" ref="I84" si="88">I78*$E78*$G78*300/1000</f>
        <v>0</v>
      </c>
      <c r="J84" s="311"/>
      <c r="K84" s="313">
        <f t="shared" si="82"/>
        <v>54000</v>
      </c>
      <c r="L84" s="313">
        <f t="shared" si="82"/>
        <v>81000</v>
      </c>
      <c r="M84" s="313">
        <f t="shared" si="82"/>
        <v>175500</v>
      </c>
      <c r="N84" s="313">
        <f t="shared" si="82"/>
        <v>270000</v>
      </c>
      <c r="O84" s="313">
        <f t="shared" si="82"/>
        <v>270000</v>
      </c>
      <c r="P84" s="313">
        <f t="shared" ref="P84:R84" si="89">P78*$E78*$G78*300/1000</f>
        <v>270000</v>
      </c>
      <c r="Q84" s="313">
        <f t="shared" si="89"/>
        <v>270000</v>
      </c>
      <c r="R84" s="313">
        <f t="shared" si="89"/>
        <v>270000</v>
      </c>
      <c r="S84" s="313">
        <f t="shared" ref="S84:T84" si="90">S78*$E78*$G78*300/1000</f>
        <v>270000</v>
      </c>
      <c r="T84" s="313">
        <f t="shared" si="90"/>
        <v>270000</v>
      </c>
      <c r="V84" s="354">
        <f>K84/K$91</f>
        <v>0.18033813400125234</v>
      </c>
      <c r="W84" s="211">
        <f>O84/O$91</f>
        <v>0.14209591474245115</v>
      </c>
    </row>
    <row r="85" spans="2:23" s="25" customFormat="1" x14ac:dyDescent="0.15">
      <c r="B85" s="56"/>
      <c r="C85" s="128"/>
      <c r="D85" s="127" t="s">
        <v>212</v>
      </c>
      <c r="E85" s="127"/>
      <c r="F85" s="127"/>
      <c r="G85" s="167"/>
      <c r="H85" s="90"/>
      <c r="I85" s="313">
        <f>I79*$E79*$G79*365/1000</f>
        <v>0</v>
      </c>
      <c r="J85" s="311"/>
      <c r="K85" s="313">
        <f t="shared" ref="K85:R85" si="91">K79*$E79*$G79*365/1000</f>
        <v>109500</v>
      </c>
      <c r="L85" s="313">
        <f t="shared" si="91"/>
        <v>219000</v>
      </c>
      <c r="M85" s="313">
        <f t="shared" si="91"/>
        <v>350400</v>
      </c>
      <c r="N85" s="313">
        <f t="shared" si="91"/>
        <v>438000</v>
      </c>
      <c r="O85" s="313">
        <f t="shared" si="91"/>
        <v>657000</v>
      </c>
      <c r="P85" s="313">
        <f t="shared" si="91"/>
        <v>876000</v>
      </c>
      <c r="Q85" s="313">
        <f t="shared" si="91"/>
        <v>876000</v>
      </c>
      <c r="R85" s="313">
        <f t="shared" si="91"/>
        <v>876000</v>
      </c>
      <c r="S85" s="313">
        <f t="shared" ref="S85:T85" si="92">S79*$E79*$G79*365/1000</f>
        <v>876000</v>
      </c>
      <c r="T85" s="313">
        <f t="shared" si="92"/>
        <v>876000</v>
      </c>
      <c r="V85" s="354">
        <f>K85/K$91</f>
        <v>0.3656856606136506</v>
      </c>
      <c r="W85" s="211">
        <f>O85/O$91</f>
        <v>0.34576672587329782</v>
      </c>
    </row>
    <row r="86" spans="2:23" s="25" customFormat="1" x14ac:dyDescent="0.15">
      <c r="B86" s="56"/>
      <c r="C86" s="128"/>
      <c r="D86" s="127"/>
      <c r="E86" s="127"/>
      <c r="F86" s="127"/>
      <c r="G86" s="167"/>
      <c r="H86" s="90"/>
      <c r="I86" s="312"/>
      <c r="J86" s="311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V86" s="323"/>
    </row>
    <row r="87" spans="2:23" s="25" customFormat="1" x14ac:dyDescent="0.15">
      <c r="B87" s="56"/>
      <c r="C87" s="106" t="s">
        <v>231</v>
      </c>
      <c r="D87" s="127" t="s">
        <v>219</v>
      </c>
      <c r="E87" s="127"/>
      <c r="F87" s="127"/>
      <c r="G87" s="167"/>
      <c r="H87" s="90"/>
      <c r="I87" s="313">
        <f>I82+I83+I84+I85/2</f>
        <v>0</v>
      </c>
      <c r="J87" s="313"/>
      <c r="K87" s="313">
        <f t="shared" ref="K87:R87" si="93">K82+K83+K84+K85/2</f>
        <v>176250</v>
      </c>
      <c r="L87" s="313">
        <f t="shared" si="93"/>
        <v>325500</v>
      </c>
      <c r="M87" s="313">
        <f t="shared" si="93"/>
        <v>598200</v>
      </c>
      <c r="N87" s="313">
        <f t="shared" si="93"/>
        <v>849000</v>
      </c>
      <c r="O87" s="313">
        <f t="shared" si="93"/>
        <v>1161000</v>
      </c>
      <c r="P87" s="313">
        <f t="shared" si="93"/>
        <v>1315500</v>
      </c>
      <c r="Q87" s="313">
        <f t="shared" si="93"/>
        <v>1315500</v>
      </c>
      <c r="R87" s="313">
        <f t="shared" si="93"/>
        <v>1315500</v>
      </c>
      <c r="S87" s="313">
        <f t="shared" ref="S87:T87" si="94">S82+S83+S84+S85/2</f>
        <v>1315500</v>
      </c>
      <c r="T87" s="313">
        <f t="shared" si="94"/>
        <v>1315500</v>
      </c>
      <c r="V87" s="354">
        <f>K87/K$91</f>
        <v>0.58860363180964304</v>
      </c>
      <c r="W87" s="211">
        <f>O87/O$91</f>
        <v>0.61101243339253997</v>
      </c>
    </row>
    <row r="88" spans="2:23" s="25" customFormat="1" x14ac:dyDescent="0.15">
      <c r="B88" s="56"/>
      <c r="C88" s="128"/>
      <c r="D88" s="127" t="s">
        <v>214</v>
      </c>
      <c r="E88" s="127"/>
      <c r="F88" s="127"/>
      <c r="G88" s="167"/>
      <c r="H88" s="90"/>
      <c r="I88" s="312">
        <f>I81+I85/4</f>
        <v>57213.75</v>
      </c>
      <c r="J88" s="312"/>
      <c r="K88" s="312">
        <f t="shared" ref="K88:R88" si="95">K81+K85/4</f>
        <v>95812.5</v>
      </c>
      <c r="L88" s="312">
        <f t="shared" si="95"/>
        <v>164250</v>
      </c>
      <c r="M88" s="312">
        <f t="shared" si="95"/>
        <v>306600</v>
      </c>
      <c r="N88" s="312">
        <f t="shared" si="95"/>
        <v>438000</v>
      </c>
      <c r="O88" s="312">
        <f t="shared" si="95"/>
        <v>574875</v>
      </c>
      <c r="P88" s="312">
        <f t="shared" si="95"/>
        <v>657000</v>
      </c>
      <c r="Q88" s="312">
        <f t="shared" si="95"/>
        <v>657000</v>
      </c>
      <c r="R88" s="312">
        <f t="shared" si="95"/>
        <v>657000</v>
      </c>
      <c r="S88" s="312">
        <f t="shared" ref="S88:T88" si="96">S81+S85/4</f>
        <v>657000</v>
      </c>
      <c r="T88" s="312">
        <f t="shared" si="96"/>
        <v>657000</v>
      </c>
      <c r="V88" s="354">
        <f>K88/K$91</f>
        <v>0.31997495303694429</v>
      </c>
      <c r="W88" s="211">
        <f>O88/O$91</f>
        <v>0.30254588513913561</v>
      </c>
    </row>
    <row r="89" spans="2:23" s="25" customFormat="1" x14ac:dyDescent="0.15">
      <c r="B89" s="56"/>
      <c r="C89" s="128"/>
      <c r="D89" s="127" t="s">
        <v>220</v>
      </c>
      <c r="E89" s="127"/>
      <c r="F89" s="127"/>
      <c r="G89" s="167"/>
      <c r="H89" s="90"/>
      <c r="I89" s="312">
        <f>I85/4</f>
        <v>0</v>
      </c>
      <c r="J89" s="312"/>
      <c r="K89" s="312">
        <f t="shared" ref="K89:R89" si="97">K85/4</f>
        <v>27375</v>
      </c>
      <c r="L89" s="312">
        <f t="shared" si="97"/>
        <v>54750</v>
      </c>
      <c r="M89" s="312">
        <f t="shared" si="97"/>
        <v>87600</v>
      </c>
      <c r="N89" s="312">
        <f t="shared" si="97"/>
        <v>109500</v>
      </c>
      <c r="O89" s="312">
        <f t="shared" si="97"/>
        <v>164250</v>
      </c>
      <c r="P89" s="312">
        <f t="shared" si="97"/>
        <v>219000</v>
      </c>
      <c r="Q89" s="312">
        <f t="shared" si="97"/>
        <v>219000</v>
      </c>
      <c r="R89" s="312">
        <f t="shared" si="97"/>
        <v>219000</v>
      </c>
      <c r="S89" s="312">
        <f t="shared" ref="S89:T89" si="98">S85/4</f>
        <v>219000</v>
      </c>
      <c r="T89" s="312">
        <f t="shared" si="98"/>
        <v>219000</v>
      </c>
      <c r="V89" s="354">
        <f>K89/K$91</f>
        <v>9.142141515341265E-2</v>
      </c>
      <c r="W89" s="211">
        <f>O89/O$91</f>
        <v>8.6441681468324455E-2</v>
      </c>
    </row>
    <row r="90" spans="2:23" s="25" customFormat="1" x14ac:dyDescent="0.15">
      <c r="B90" s="56"/>
      <c r="C90" s="128"/>
      <c r="D90" s="127"/>
      <c r="E90" s="127"/>
      <c r="F90" s="127"/>
      <c r="G90" s="167"/>
      <c r="H90" s="90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V90" s="354"/>
    </row>
    <row r="91" spans="2:23" s="25" customFormat="1" x14ac:dyDescent="0.15">
      <c r="B91" s="56"/>
      <c r="D91" s="27" t="s">
        <v>229</v>
      </c>
      <c r="E91" s="127"/>
      <c r="F91" s="127"/>
      <c r="G91" s="167"/>
      <c r="H91" s="90"/>
      <c r="I91" s="339">
        <f>SUM(I87:I89)</f>
        <v>57213.75</v>
      </c>
      <c r="J91" s="339"/>
      <c r="K91" s="339">
        <f t="shared" ref="K91:R91" si="99">SUM(K87:K89)</f>
        <v>299437.5</v>
      </c>
      <c r="L91" s="339">
        <f t="shared" si="99"/>
        <v>544500</v>
      </c>
      <c r="M91" s="339">
        <f t="shared" si="99"/>
        <v>992400</v>
      </c>
      <c r="N91" s="339">
        <f t="shared" si="99"/>
        <v>1396500</v>
      </c>
      <c r="O91" s="339">
        <f t="shared" si="99"/>
        <v>1900125</v>
      </c>
      <c r="P91" s="339">
        <f t="shared" si="99"/>
        <v>2191500</v>
      </c>
      <c r="Q91" s="339">
        <f t="shared" si="99"/>
        <v>2191500</v>
      </c>
      <c r="R91" s="339">
        <f t="shared" si="99"/>
        <v>2191500</v>
      </c>
      <c r="S91" s="339">
        <f t="shared" ref="S91:T91" si="100">SUM(S87:S89)</f>
        <v>2191500</v>
      </c>
      <c r="T91" s="339">
        <f t="shared" si="100"/>
        <v>2191500</v>
      </c>
      <c r="V91" s="323"/>
    </row>
    <row r="92" spans="2:23" s="25" customFormat="1" x14ac:dyDescent="0.15">
      <c r="B92" s="56"/>
      <c r="D92" s="27"/>
      <c r="E92" s="127"/>
      <c r="F92" s="127"/>
      <c r="G92" s="167"/>
      <c r="H92" s="90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V92" s="323"/>
    </row>
    <row r="93" spans="2:23" s="25" customFormat="1" x14ac:dyDescent="0.15">
      <c r="B93" s="56"/>
      <c r="C93" s="355" t="s">
        <v>232</v>
      </c>
      <c r="D93" s="356" t="s">
        <v>235</v>
      </c>
      <c r="E93" s="356"/>
      <c r="F93" s="356"/>
      <c r="G93" s="369"/>
      <c r="H93" s="357"/>
      <c r="I93" s="358"/>
      <c r="J93" s="358"/>
      <c r="K93" s="358">
        <f t="shared" ref="K93:O95" si="101">K68-K87</f>
        <v>27787.920000000013</v>
      </c>
      <c r="L93" s="358">
        <f t="shared" si="101"/>
        <v>150588.47999999998</v>
      </c>
      <c r="M93" s="358">
        <f t="shared" si="101"/>
        <v>19581.479999999981</v>
      </c>
      <c r="N93" s="358">
        <f t="shared" si="101"/>
        <v>52167.479999999981</v>
      </c>
      <c r="O93" s="358">
        <f t="shared" si="101"/>
        <v>23553.479999999981</v>
      </c>
      <c r="P93" s="358">
        <f t="shared" ref="P93:R93" si="102">P68-P87</f>
        <v>10746.479999999981</v>
      </c>
      <c r="Q93" s="358">
        <f t="shared" si="102"/>
        <v>10746.479999999981</v>
      </c>
      <c r="R93" s="358">
        <f t="shared" si="102"/>
        <v>10746.479999999981</v>
      </c>
      <c r="S93" s="358">
        <f t="shared" ref="S93:T93" si="103">S68-S87</f>
        <v>10746.479999999981</v>
      </c>
      <c r="T93" s="358">
        <f t="shared" si="103"/>
        <v>10746.479999999981</v>
      </c>
      <c r="V93" s="360">
        <f>K93/K$68</f>
        <v>0.13618997880394001</v>
      </c>
      <c r="W93" s="211">
        <f>O93/O68</f>
        <v>1.9883846865233964E-2</v>
      </c>
    </row>
    <row r="94" spans="2:23" s="25" customFormat="1" x14ac:dyDescent="0.15">
      <c r="B94" s="56"/>
      <c r="C94" s="320"/>
      <c r="D94" s="356" t="s">
        <v>234</v>
      </c>
      <c r="E94" s="356"/>
      <c r="F94" s="356"/>
      <c r="G94" s="369"/>
      <c r="H94" s="357"/>
      <c r="I94" s="358"/>
      <c r="J94" s="358"/>
      <c r="K94" s="358">
        <f t="shared" si="101"/>
        <v>6206.4600000000064</v>
      </c>
      <c r="L94" s="358">
        <f t="shared" si="101"/>
        <v>73794.239999999991</v>
      </c>
      <c r="M94" s="358">
        <f t="shared" si="101"/>
        <v>2290.7399999999907</v>
      </c>
      <c r="N94" s="358">
        <f t="shared" si="101"/>
        <v>12583.739999999991</v>
      </c>
      <c r="O94" s="358">
        <f t="shared" si="101"/>
        <v>17401.739999999991</v>
      </c>
      <c r="P94" s="358">
        <f t="shared" ref="P94:R94" si="104">P69-P88</f>
        <v>6123.2399999999907</v>
      </c>
      <c r="Q94" s="358">
        <f t="shared" si="104"/>
        <v>6123.2399999999907</v>
      </c>
      <c r="R94" s="358">
        <f t="shared" si="104"/>
        <v>6123.2399999999907</v>
      </c>
      <c r="S94" s="358">
        <f t="shared" ref="S94:T94" si="105">S69-S88</f>
        <v>6123.2399999999907</v>
      </c>
      <c r="T94" s="358">
        <f t="shared" si="105"/>
        <v>6123.2399999999907</v>
      </c>
      <c r="V94" s="360">
        <f>K94/K$68</f>
        <v>3.0418169328524845E-2</v>
      </c>
      <c r="W94" s="211">
        <f>O94/O69</f>
        <v>2.9381096411113479E-2</v>
      </c>
    </row>
    <row r="95" spans="2:23" s="25" customFormat="1" x14ac:dyDescent="0.15">
      <c r="B95" s="56"/>
      <c r="C95" s="320"/>
      <c r="D95" s="356" t="s">
        <v>233</v>
      </c>
      <c r="E95" s="356"/>
      <c r="F95" s="356"/>
      <c r="G95" s="369"/>
      <c r="H95" s="357"/>
      <c r="I95" s="358"/>
      <c r="J95" s="358"/>
      <c r="K95" s="358">
        <f t="shared" si="101"/>
        <v>74643.960000000006</v>
      </c>
      <c r="L95" s="358">
        <f t="shared" si="101"/>
        <v>183294.24</v>
      </c>
      <c r="M95" s="358">
        <f t="shared" si="101"/>
        <v>221290.74</v>
      </c>
      <c r="N95" s="358">
        <f t="shared" si="101"/>
        <v>341083.74</v>
      </c>
      <c r="O95" s="358">
        <f t="shared" si="101"/>
        <v>428026.74</v>
      </c>
      <c r="P95" s="358">
        <f t="shared" ref="P95:R95" si="106">P70-P89</f>
        <v>444123.24</v>
      </c>
      <c r="Q95" s="358">
        <f t="shared" si="106"/>
        <v>444123.24</v>
      </c>
      <c r="R95" s="358">
        <f t="shared" si="106"/>
        <v>444123.24</v>
      </c>
      <c r="S95" s="358">
        <f t="shared" ref="S95:T95" si="107">S70-S89</f>
        <v>444123.24</v>
      </c>
      <c r="T95" s="358">
        <f t="shared" si="107"/>
        <v>444123.24</v>
      </c>
      <c r="V95" s="360">
        <f>K95/K$68</f>
        <v>0.36583376266529283</v>
      </c>
      <c r="W95" s="211">
        <f>O95/O70</f>
        <v>0.72268031326031812</v>
      </c>
    </row>
    <row r="96" spans="2:23" s="25" customFormat="1" x14ac:dyDescent="0.15">
      <c r="B96" s="56"/>
      <c r="C96" s="93"/>
      <c r="D96" s="107"/>
      <c r="E96" s="107"/>
      <c r="F96" s="107"/>
      <c r="G96" s="167"/>
      <c r="H96" s="91"/>
      <c r="I96" s="232"/>
      <c r="J96" s="232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/>
      <c r="V96" s="316"/>
    </row>
    <row r="97" spans="2:22" s="25" customFormat="1" x14ac:dyDescent="0.15">
      <c r="B97" s="56"/>
      <c r="C97" s="93"/>
      <c r="D97" s="107"/>
      <c r="E97" s="107"/>
      <c r="F97" s="107"/>
      <c r="G97" s="167"/>
      <c r="H97" s="91"/>
      <c r="I97" s="232"/>
      <c r="J97" s="232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/>
      <c r="V97" s="316"/>
    </row>
    <row r="98" spans="2:22" ht="14" x14ac:dyDescent="0.15">
      <c r="B98" s="109" t="s">
        <v>236</v>
      </c>
      <c r="C98" s="128" t="s">
        <v>168</v>
      </c>
      <c r="D98" s="127" t="s">
        <v>169</v>
      </c>
      <c r="E98" s="127"/>
      <c r="F98" s="127"/>
      <c r="H98" s="92"/>
      <c r="I98" s="301"/>
      <c r="J98" s="366"/>
      <c r="K98" s="301">
        <v>9.1999999999999998E-2</v>
      </c>
      <c r="L98" s="319">
        <v>9.1999999999999998E-2</v>
      </c>
      <c r="M98" s="301">
        <v>9.1999999999999998E-2</v>
      </c>
      <c r="N98" s="301">
        <v>9.1999999999999998E-2</v>
      </c>
      <c r="O98" s="301">
        <v>9.1999999999999998E-2</v>
      </c>
      <c r="P98" s="301">
        <v>9.1999999999999998E-2</v>
      </c>
      <c r="Q98" s="301">
        <v>9.1999999999999998E-2</v>
      </c>
      <c r="R98" s="301">
        <v>9.1999999999999998E-2</v>
      </c>
      <c r="S98" s="301">
        <v>9.1999999999999998E-2</v>
      </c>
      <c r="T98" s="301">
        <v>9.1999999999999998E-2</v>
      </c>
    </row>
    <row r="99" spans="2:22" x14ac:dyDescent="0.15">
      <c r="B99" s="40"/>
      <c r="C99" s="128" t="s">
        <v>187</v>
      </c>
      <c r="D99" s="127" t="s">
        <v>170</v>
      </c>
      <c r="E99" s="127"/>
      <c r="F99" s="127"/>
      <c r="H99" s="92"/>
      <c r="I99" s="301"/>
      <c r="J99" s="366"/>
      <c r="K99" s="301">
        <v>8.2000000000000003E-2</v>
      </c>
      <c r="L99" s="301">
        <v>8.2000000000000003E-2</v>
      </c>
      <c r="M99" s="301">
        <v>8.2000000000000003E-2</v>
      </c>
      <c r="N99" s="301">
        <v>8.2000000000000003E-2</v>
      </c>
      <c r="O99" s="301">
        <v>8.2000000000000003E-2</v>
      </c>
      <c r="P99" s="301">
        <v>8.2000000000000003E-2</v>
      </c>
      <c r="Q99" s="301">
        <v>8.2000000000000003E-2</v>
      </c>
      <c r="R99" s="301">
        <v>8.2000000000000003E-2</v>
      </c>
      <c r="S99" s="301">
        <v>8.2000000000000003E-2</v>
      </c>
      <c r="T99" s="301">
        <v>8.2000000000000003E-2</v>
      </c>
    </row>
    <row r="100" spans="2:22" s="25" customFormat="1" x14ac:dyDescent="0.15">
      <c r="B100" s="56"/>
      <c r="C100" s="128"/>
      <c r="D100" s="127"/>
      <c r="E100" s="127"/>
      <c r="F100" s="127"/>
      <c r="G100" s="167"/>
      <c r="H100" s="92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V100" s="167"/>
    </row>
    <row r="101" spans="2:22" x14ac:dyDescent="0.15">
      <c r="B101" s="40"/>
      <c r="C101" s="128" t="s">
        <v>242</v>
      </c>
      <c r="D101" s="127" t="s">
        <v>211</v>
      </c>
      <c r="E101" s="127"/>
      <c r="F101" s="127"/>
      <c r="H101" s="92"/>
      <c r="I101" s="301"/>
      <c r="J101" s="366"/>
      <c r="K101" s="303">
        <v>15000</v>
      </c>
      <c r="L101" s="303">
        <v>15000</v>
      </c>
      <c r="M101" s="303">
        <v>15000</v>
      </c>
      <c r="N101" s="303">
        <v>15000</v>
      </c>
      <c r="O101" s="303">
        <v>15000</v>
      </c>
      <c r="P101" s="303">
        <v>15000</v>
      </c>
      <c r="Q101" s="303">
        <v>15000</v>
      </c>
      <c r="R101" s="303">
        <v>15000</v>
      </c>
      <c r="S101" s="303">
        <v>15000</v>
      </c>
      <c r="T101" s="303">
        <v>15000</v>
      </c>
    </row>
    <row r="102" spans="2:22" x14ac:dyDescent="0.15">
      <c r="B102" s="40"/>
      <c r="C102" s="128"/>
      <c r="D102" s="127" t="s">
        <v>216</v>
      </c>
      <c r="E102" s="127"/>
      <c r="F102" s="127"/>
      <c r="H102" s="92"/>
      <c r="I102" s="301"/>
      <c r="J102" s="366"/>
      <c r="K102" s="303">
        <v>15000</v>
      </c>
      <c r="L102" s="303">
        <v>15000</v>
      </c>
      <c r="M102" s="303">
        <v>15000</v>
      </c>
      <c r="N102" s="303">
        <v>15000</v>
      </c>
      <c r="O102" s="303">
        <v>15000</v>
      </c>
      <c r="P102" s="303">
        <v>15000</v>
      </c>
      <c r="Q102" s="303">
        <v>15000</v>
      </c>
      <c r="R102" s="303">
        <v>15000</v>
      </c>
      <c r="S102" s="303">
        <v>15000</v>
      </c>
      <c r="T102" s="303">
        <v>15000</v>
      </c>
    </row>
    <row r="103" spans="2:22" x14ac:dyDescent="0.15">
      <c r="B103" s="40"/>
      <c r="C103" s="128"/>
      <c r="D103" s="127" t="s">
        <v>217</v>
      </c>
      <c r="E103" s="127"/>
      <c r="F103" s="127"/>
      <c r="H103" s="92"/>
      <c r="I103" s="301"/>
      <c r="J103" s="366"/>
      <c r="K103" s="303">
        <v>100000</v>
      </c>
      <c r="L103" s="303">
        <v>100000</v>
      </c>
      <c r="M103" s="303">
        <v>100000</v>
      </c>
      <c r="N103" s="303">
        <v>100000</v>
      </c>
      <c r="O103" s="303">
        <v>100000</v>
      </c>
      <c r="P103" s="303">
        <v>100000</v>
      </c>
      <c r="Q103" s="303">
        <v>100000</v>
      </c>
      <c r="R103" s="303">
        <v>100000</v>
      </c>
      <c r="S103" s="303">
        <v>100000</v>
      </c>
      <c r="T103" s="303">
        <v>100000</v>
      </c>
    </row>
    <row r="104" spans="2:22" x14ac:dyDescent="0.15">
      <c r="B104" s="40"/>
      <c r="C104" s="128"/>
      <c r="D104" s="127" t="s">
        <v>218</v>
      </c>
      <c r="E104" s="127"/>
      <c r="F104" s="127"/>
      <c r="H104" s="92"/>
      <c r="I104" s="301"/>
      <c r="J104" s="366"/>
      <c r="K104" s="303">
        <v>0</v>
      </c>
      <c r="L104" s="303">
        <f t="shared" ref="L104:T104" si="108">K104*1.05</f>
        <v>0</v>
      </c>
      <c r="M104" s="303">
        <f t="shared" si="108"/>
        <v>0</v>
      </c>
      <c r="N104" s="303">
        <f t="shared" si="108"/>
        <v>0</v>
      </c>
      <c r="O104" s="303">
        <f t="shared" si="108"/>
        <v>0</v>
      </c>
      <c r="P104" s="303">
        <f t="shared" si="108"/>
        <v>0</v>
      </c>
      <c r="Q104" s="303">
        <f t="shared" si="108"/>
        <v>0</v>
      </c>
      <c r="R104" s="303">
        <f t="shared" si="108"/>
        <v>0</v>
      </c>
      <c r="S104" s="303">
        <f t="shared" si="108"/>
        <v>0</v>
      </c>
      <c r="T104" s="303">
        <f t="shared" si="108"/>
        <v>0</v>
      </c>
    </row>
    <row r="105" spans="2:22" x14ac:dyDescent="0.15">
      <c r="B105" s="40"/>
      <c r="C105" s="128"/>
      <c r="D105" s="127" t="s">
        <v>212</v>
      </c>
      <c r="E105" s="127"/>
      <c r="F105" s="127"/>
      <c r="H105" s="92"/>
      <c r="I105" s="301"/>
      <c r="J105" s="366"/>
      <c r="K105" s="303">
        <v>0</v>
      </c>
      <c r="L105" s="303">
        <f t="shared" ref="L105:T105" si="109">K105*1.05</f>
        <v>0</v>
      </c>
      <c r="M105" s="303">
        <f t="shared" si="109"/>
        <v>0</v>
      </c>
      <c r="N105" s="303">
        <f t="shared" si="109"/>
        <v>0</v>
      </c>
      <c r="O105" s="303">
        <f t="shared" si="109"/>
        <v>0</v>
      </c>
      <c r="P105" s="303">
        <f t="shared" si="109"/>
        <v>0</v>
      </c>
      <c r="Q105" s="303">
        <f t="shared" si="109"/>
        <v>0</v>
      </c>
      <c r="R105" s="303">
        <f t="shared" si="109"/>
        <v>0</v>
      </c>
      <c r="S105" s="303">
        <f t="shared" si="109"/>
        <v>0</v>
      </c>
      <c r="T105" s="303">
        <f t="shared" si="109"/>
        <v>0</v>
      </c>
    </row>
    <row r="106" spans="2:22" s="25" customFormat="1" x14ac:dyDescent="0.15">
      <c r="B106" s="56"/>
      <c r="C106" s="93"/>
      <c r="D106" s="56"/>
      <c r="E106" s="324" t="s">
        <v>209</v>
      </c>
      <c r="F106" s="127"/>
      <c r="G106" s="371" t="s">
        <v>244</v>
      </c>
      <c r="H106" s="91"/>
      <c r="I106" s="230"/>
      <c r="J106" s="35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/>
      <c r="V106" s="316"/>
    </row>
    <row r="107" spans="2:22" x14ac:dyDescent="0.15">
      <c r="B107" s="40"/>
      <c r="C107" s="128" t="s">
        <v>243</v>
      </c>
      <c r="D107" s="127" t="s">
        <v>211</v>
      </c>
      <c r="E107" s="335">
        <v>100</v>
      </c>
      <c r="F107" s="127" t="s">
        <v>189</v>
      </c>
      <c r="G107" s="370">
        <v>0.42857142857142855</v>
      </c>
      <c r="H107" s="92"/>
      <c r="I107" s="303">
        <v>10</v>
      </c>
      <c r="J107" s="366"/>
      <c r="K107" s="303">
        <v>12</v>
      </c>
      <c r="L107" s="303">
        <f t="shared" ref="L107:T107" si="110">K107*1.05</f>
        <v>12.600000000000001</v>
      </c>
      <c r="M107" s="303">
        <f t="shared" si="110"/>
        <v>13.230000000000002</v>
      </c>
      <c r="N107" s="303">
        <f t="shared" si="110"/>
        <v>13.891500000000002</v>
      </c>
      <c r="O107" s="303">
        <f t="shared" si="110"/>
        <v>14.586075000000003</v>
      </c>
      <c r="P107" s="303">
        <f t="shared" si="110"/>
        <v>15.315378750000004</v>
      </c>
      <c r="Q107" s="303">
        <f t="shared" si="110"/>
        <v>16.081147687500007</v>
      </c>
      <c r="R107" s="303">
        <f t="shared" si="110"/>
        <v>16.885205071875006</v>
      </c>
      <c r="S107" s="303">
        <f t="shared" si="110"/>
        <v>17.729465325468759</v>
      </c>
      <c r="T107" s="303">
        <f t="shared" si="110"/>
        <v>18.615938591742196</v>
      </c>
    </row>
    <row r="108" spans="2:22" x14ac:dyDescent="0.15">
      <c r="B108" s="40"/>
      <c r="C108" s="128" t="s">
        <v>188</v>
      </c>
      <c r="D108" s="127" t="s">
        <v>216</v>
      </c>
      <c r="E108" s="335">
        <v>250</v>
      </c>
      <c r="F108" s="127" t="s">
        <v>189</v>
      </c>
      <c r="G108" s="370">
        <v>0.14285714285714285</v>
      </c>
      <c r="H108" s="92"/>
      <c r="I108" s="303"/>
      <c r="J108" s="366"/>
      <c r="K108" s="303">
        <v>12</v>
      </c>
      <c r="L108" s="303">
        <f t="shared" ref="L108:T108" si="111">K108*1.05</f>
        <v>12.600000000000001</v>
      </c>
      <c r="M108" s="303">
        <f t="shared" si="111"/>
        <v>13.230000000000002</v>
      </c>
      <c r="N108" s="303">
        <f t="shared" si="111"/>
        <v>13.891500000000002</v>
      </c>
      <c r="O108" s="303">
        <f t="shared" si="111"/>
        <v>14.586075000000003</v>
      </c>
      <c r="P108" s="303">
        <f t="shared" si="111"/>
        <v>15.315378750000004</v>
      </c>
      <c r="Q108" s="303">
        <f t="shared" si="111"/>
        <v>16.081147687500007</v>
      </c>
      <c r="R108" s="303">
        <f t="shared" si="111"/>
        <v>16.885205071875006</v>
      </c>
      <c r="S108" s="303">
        <f t="shared" si="111"/>
        <v>17.729465325468759</v>
      </c>
      <c r="T108" s="303">
        <f t="shared" si="111"/>
        <v>18.615938591742196</v>
      </c>
    </row>
    <row r="109" spans="2:22" x14ac:dyDescent="0.15">
      <c r="B109" s="40"/>
      <c r="C109" s="128"/>
      <c r="D109" s="127" t="s">
        <v>217</v>
      </c>
      <c r="E109" s="335">
        <v>5000</v>
      </c>
      <c r="F109" s="127" t="s">
        <v>189</v>
      </c>
      <c r="G109" s="370">
        <v>0.14285714285714285</v>
      </c>
      <c r="H109" s="92"/>
      <c r="I109" s="303"/>
      <c r="J109" s="366"/>
      <c r="K109" s="303">
        <v>12</v>
      </c>
      <c r="L109" s="303">
        <f t="shared" ref="L109:T109" si="112">K109*1.05</f>
        <v>12.600000000000001</v>
      </c>
      <c r="M109" s="303">
        <f t="shared" si="112"/>
        <v>13.230000000000002</v>
      </c>
      <c r="N109" s="303">
        <f t="shared" si="112"/>
        <v>13.891500000000002</v>
      </c>
      <c r="O109" s="303">
        <f t="shared" si="112"/>
        <v>14.586075000000003</v>
      </c>
      <c r="P109" s="303">
        <f t="shared" si="112"/>
        <v>15.315378750000004</v>
      </c>
      <c r="Q109" s="303">
        <f t="shared" si="112"/>
        <v>16.081147687500007</v>
      </c>
      <c r="R109" s="303">
        <f t="shared" si="112"/>
        <v>16.885205071875006</v>
      </c>
      <c r="S109" s="303">
        <f t="shared" si="112"/>
        <v>17.729465325468759</v>
      </c>
      <c r="T109" s="303">
        <f t="shared" si="112"/>
        <v>18.615938591742196</v>
      </c>
    </row>
    <row r="110" spans="2:22" x14ac:dyDescent="0.15">
      <c r="B110" s="40"/>
      <c r="C110" s="128"/>
      <c r="D110" s="127" t="s">
        <v>218</v>
      </c>
      <c r="E110" s="335">
        <v>1500</v>
      </c>
      <c r="F110" s="127" t="s">
        <v>189</v>
      </c>
      <c r="G110" s="370">
        <v>9.5238095238095233E-2</v>
      </c>
      <c r="H110" s="92"/>
      <c r="I110" s="303"/>
      <c r="J110" s="366"/>
      <c r="K110" s="303">
        <v>12</v>
      </c>
      <c r="L110" s="303">
        <f t="shared" ref="L110:T110" si="113">K110*1.05</f>
        <v>12.600000000000001</v>
      </c>
      <c r="M110" s="303">
        <f t="shared" si="113"/>
        <v>13.230000000000002</v>
      </c>
      <c r="N110" s="303">
        <f t="shared" si="113"/>
        <v>13.891500000000002</v>
      </c>
      <c r="O110" s="303">
        <f t="shared" si="113"/>
        <v>14.586075000000003</v>
      </c>
      <c r="P110" s="303">
        <f t="shared" si="113"/>
        <v>15.315378750000004</v>
      </c>
      <c r="Q110" s="303">
        <f t="shared" si="113"/>
        <v>16.081147687500007</v>
      </c>
      <c r="R110" s="303">
        <f t="shared" si="113"/>
        <v>16.885205071875006</v>
      </c>
      <c r="S110" s="303">
        <f t="shared" si="113"/>
        <v>17.729465325468759</v>
      </c>
      <c r="T110" s="303">
        <f t="shared" si="113"/>
        <v>18.615938591742196</v>
      </c>
    </row>
    <row r="111" spans="2:22" x14ac:dyDescent="0.15">
      <c r="B111" s="40"/>
      <c r="C111" s="128"/>
      <c r="D111" s="127" t="s">
        <v>212</v>
      </c>
      <c r="E111" s="335">
        <v>500</v>
      </c>
      <c r="F111" s="127" t="s">
        <v>189</v>
      </c>
      <c r="G111" s="370">
        <v>0.14285714285714285</v>
      </c>
      <c r="H111" s="92"/>
      <c r="I111" s="303"/>
      <c r="J111" s="366"/>
      <c r="K111" s="303">
        <v>12</v>
      </c>
      <c r="L111" s="303">
        <f t="shared" ref="L111:T111" si="114">K111*1.05</f>
        <v>12.600000000000001</v>
      </c>
      <c r="M111" s="303">
        <f t="shared" si="114"/>
        <v>13.230000000000002</v>
      </c>
      <c r="N111" s="303">
        <f t="shared" si="114"/>
        <v>13.891500000000002</v>
      </c>
      <c r="O111" s="303">
        <f t="shared" si="114"/>
        <v>14.586075000000003</v>
      </c>
      <c r="P111" s="303">
        <f t="shared" si="114"/>
        <v>15.315378750000004</v>
      </c>
      <c r="Q111" s="303">
        <f t="shared" si="114"/>
        <v>16.081147687500007</v>
      </c>
      <c r="R111" s="303">
        <f t="shared" si="114"/>
        <v>16.885205071875006</v>
      </c>
      <c r="S111" s="303">
        <f t="shared" si="114"/>
        <v>17.729465325468759</v>
      </c>
      <c r="T111" s="303">
        <f t="shared" si="114"/>
        <v>18.615938591742196</v>
      </c>
    </row>
    <row r="112" spans="2:22" s="25" customFormat="1" x14ac:dyDescent="0.15">
      <c r="B112" s="56"/>
      <c r="C112" s="128"/>
      <c r="D112" s="127"/>
      <c r="E112" s="127"/>
      <c r="F112" s="127"/>
      <c r="G112" s="167"/>
      <c r="H112" s="9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V112" s="167"/>
    </row>
    <row r="113" spans="2:22" ht="14" x14ac:dyDescent="0.15">
      <c r="B113" s="109" t="s">
        <v>33</v>
      </c>
      <c r="C113" s="128" t="s">
        <v>149</v>
      </c>
      <c r="D113" s="127" t="s">
        <v>171</v>
      </c>
      <c r="E113" s="127"/>
      <c r="F113" s="127"/>
      <c r="H113" s="58"/>
      <c r="I113" s="231">
        <v>0.3</v>
      </c>
      <c r="J113" s="382"/>
      <c r="K113" s="231">
        <v>0.3</v>
      </c>
      <c r="L113" s="231">
        <v>0.3</v>
      </c>
      <c r="M113" s="231">
        <v>0.3</v>
      </c>
      <c r="N113" s="231">
        <v>0.3</v>
      </c>
      <c r="O113" s="231">
        <v>0.3</v>
      </c>
      <c r="P113" s="231">
        <v>0.3</v>
      </c>
      <c r="Q113" s="231">
        <v>0.3</v>
      </c>
      <c r="R113" s="231">
        <v>0.3</v>
      </c>
      <c r="S113" s="231">
        <v>0.3</v>
      </c>
      <c r="T113" s="231">
        <v>0.3</v>
      </c>
    </row>
    <row r="114" spans="2:22" x14ac:dyDescent="0.15">
      <c r="C114" s="93"/>
      <c r="D114" s="127" t="s">
        <v>172</v>
      </c>
      <c r="E114" s="127"/>
      <c r="F114" s="127"/>
      <c r="H114" s="58"/>
      <c r="I114" s="231">
        <v>0.33</v>
      </c>
      <c r="J114" s="382"/>
      <c r="K114" s="231">
        <v>0.33</v>
      </c>
      <c r="L114" s="231">
        <v>0.33</v>
      </c>
      <c r="M114" s="231">
        <v>0.33</v>
      </c>
      <c r="N114" s="231">
        <v>0.33</v>
      </c>
      <c r="O114" s="231">
        <v>0.33</v>
      </c>
      <c r="P114" s="231">
        <v>0.33</v>
      </c>
      <c r="Q114" s="231">
        <v>0.33</v>
      </c>
      <c r="R114" s="231">
        <v>0.33</v>
      </c>
      <c r="S114" s="231">
        <v>0.33</v>
      </c>
      <c r="T114" s="231">
        <v>0.33</v>
      </c>
    </row>
    <row r="115" spans="2:22" x14ac:dyDescent="0.15">
      <c r="C115" s="93"/>
      <c r="H115" s="58"/>
    </row>
    <row r="116" spans="2:22" x14ac:dyDescent="0.15">
      <c r="C116" s="56" t="s">
        <v>34</v>
      </c>
      <c r="D116" s="127" t="s">
        <v>174</v>
      </c>
      <c r="E116" s="127"/>
      <c r="F116" s="127"/>
      <c r="H116" s="89"/>
      <c r="I116" s="305">
        <v>1.1499999999999999</v>
      </c>
      <c r="J116" s="383"/>
      <c r="K116" s="305">
        <v>1.1499999999999999</v>
      </c>
      <c r="L116" s="305">
        <v>1.1499999999999999</v>
      </c>
      <c r="M116" s="305">
        <v>1.1499999999999999</v>
      </c>
      <c r="N116" s="305">
        <v>1.1499999999999999</v>
      </c>
      <c r="O116" s="305">
        <v>1.1499999999999999</v>
      </c>
      <c r="P116" s="305">
        <v>1.1499999999999999</v>
      </c>
      <c r="Q116" s="305">
        <v>1.1499999999999999</v>
      </c>
      <c r="R116" s="305">
        <v>1.1499999999999999</v>
      </c>
      <c r="S116" s="305">
        <v>1.1499999999999999</v>
      </c>
      <c r="T116" s="305">
        <v>1.1499999999999999</v>
      </c>
    </row>
    <row r="117" spans="2:22" x14ac:dyDescent="0.15">
      <c r="C117" s="56"/>
      <c r="D117" s="127" t="s">
        <v>173</v>
      </c>
      <c r="E117" s="127"/>
      <c r="F117" s="127"/>
      <c r="H117" s="89"/>
      <c r="I117" s="304">
        <v>115</v>
      </c>
      <c r="J117" s="361"/>
      <c r="K117" s="304">
        <v>115</v>
      </c>
      <c r="L117" s="304">
        <v>115</v>
      </c>
      <c r="M117" s="304">
        <v>115</v>
      </c>
      <c r="N117" s="304">
        <v>115</v>
      </c>
      <c r="O117" s="304">
        <v>115</v>
      </c>
      <c r="P117" s="304">
        <v>115</v>
      </c>
      <c r="Q117" s="304">
        <v>115</v>
      </c>
      <c r="R117" s="304">
        <v>115</v>
      </c>
      <c r="S117" s="304">
        <v>115</v>
      </c>
      <c r="T117" s="304">
        <v>115</v>
      </c>
    </row>
    <row r="118" spans="2:22" x14ac:dyDescent="0.15"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24" spans="2:22" x14ac:dyDescent="0.15">
      <c r="N124" s="7"/>
      <c r="O124" s="7"/>
      <c r="P124" s="7"/>
      <c r="Q124" s="7"/>
      <c r="R124" s="7"/>
      <c r="S124" s="7"/>
      <c r="T124" s="7"/>
      <c r="U124" s="7"/>
      <c r="V124" s="322"/>
    </row>
    <row r="125" spans="2:22" x14ac:dyDescent="0.15">
      <c r="V125" s="322"/>
    </row>
    <row r="126" spans="2:22" x14ac:dyDescent="0.15">
      <c r="V126" s="322"/>
    </row>
    <row r="128" spans="2:22" x14ac:dyDescent="0.15">
      <c r="N128" s="7"/>
    </row>
  </sheetData>
  <mergeCells count="9">
    <mergeCell ref="K60:R60"/>
    <mergeCell ref="I61:I62"/>
    <mergeCell ref="I53:I54"/>
    <mergeCell ref="I17:I18"/>
    <mergeCell ref="I22:I23"/>
    <mergeCell ref="K36:R36"/>
    <mergeCell ref="K44:R44"/>
    <mergeCell ref="K52:R52"/>
    <mergeCell ref="I27:I28"/>
  </mergeCells>
  <phoneticPr fontId="5" type="noConversion"/>
  <conditionalFormatting sqref="K93:O95">
    <cfRule type="cellIs" dxfId="5" priority="6" operator="lessThan">
      <formula>0</formula>
    </cfRule>
  </conditionalFormatting>
  <conditionalFormatting sqref="P93:P95">
    <cfRule type="cellIs" dxfId="4" priority="5" operator="lessThan">
      <formula>0</formula>
    </cfRule>
  </conditionalFormatting>
  <conditionalFormatting sqref="Q93:Q95">
    <cfRule type="cellIs" dxfId="3" priority="4" operator="lessThan">
      <formula>0</formula>
    </cfRule>
  </conditionalFormatting>
  <conditionalFormatting sqref="R93:R95">
    <cfRule type="cellIs" dxfId="2" priority="3" operator="lessThan">
      <formula>0</formula>
    </cfRule>
  </conditionalFormatting>
  <conditionalFormatting sqref="S93:S95">
    <cfRule type="cellIs" dxfId="1" priority="2" operator="lessThan">
      <formula>0</formula>
    </cfRule>
  </conditionalFormatting>
  <conditionalFormatting sqref="T93:T95">
    <cfRule type="cellIs" dxfId="0" priority="1" operator="lessThan">
      <formula>0</formula>
    </cfRule>
  </conditionalFormatting>
  <pageMargins left="0.18" right="0.36" top="0.61" bottom="1" header="0.5" footer="0.5"/>
  <pageSetup paperSize="9" scale="40" orientation="portrait" copies="2"/>
  <colBreaks count="1" manualBreakCount="1">
    <brk id="20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C5:W60"/>
  <sheetViews>
    <sheetView showGridLines="0" topLeftCell="A19" zoomScaleNormal="100" workbookViewId="0">
      <selection activeCell="G33" sqref="G33"/>
    </sheetView>
  </sheetViews>
  <sheetFormatPr baseColWidth="10" defaultColWidth="8.83203125" defaultRowHeight="13" outlineLevelRow="1" x14ac:dyDescent="0.15"/>
  <cols>
    <col min="1" max="1" width="5.33203125" customWidth="1"/>
    <col min="2" max="2" width="2.33203125" customWidth="1"/>
    <col min="3" max="3" width="33" customWidth="1"/>
    <col min="4" max="4" width="11.6640625" style="201" customWidth="1"/>
    <col min="5" max="5" width="6" style="396" customWidth="1"/>
    <col min="6" max="6" width="11.1640625" bestFit="1" customWidth="1"/>
    <col min="7" max="9" width="11.83203125" bestFit="1" customWidth="1"/>
    <col min="10" max="15" width="11.83203125" customWidth="1"/>
    <col min="16" max="16" width="2.83203125" customWidth="1"/>
    <col min="17" max="17" width="12.83203125" style="1" bestFit="1" customWidth="1"/>
    <col min="18" max="18" width="2" style="52" customWidth="1"/>
    <col min="19" max="19" width="1.6640625" customWidth="1"/>
    <col min="21" max="21" width="22.83203125" customWidth="1"/>
  </cols>
  <sheetData>
    <row r="5" spans="3:23" x14ac:dyDescent="0.15"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7" spans="3:23" x14ac:dyDescent="0.15">
      <c r="D7" s="200"/>
      <c r="E7" s="399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196"/>
      <c r="Q7" s="196"/>
      <c r="R7" s="196"/>
      <c r="S7" s="196"/>
      <c r="U7" s="8"/>
    </row>
    <row r="9" spans="3:23" ht="16" x14ac:dyDescent="0.2">
      <c r="C9" s="18" t="s">
        <v>142</v>
      </c>
      <c r="D9" s="431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53"/>
    </row>
    <row r="10" spans="3:23" x14ac:dyDescent="0.15">
      <c r="D10" s="202"/>
      <c r="F10" s="13"/>
      <c r="G10" s="13"/>
      <c r="H10" s="13"/>
      <c r="I10" s="13"/>
      <c r="J10" s="13"/>
      <c r="K10" s="13"/>
      <c r="L10" s="13"/>
      <c r="M10" s="13"/>
      <c r="N10" s="13"/>
      <c r="O10" s="13"/>
      <c r="Q10" s="11"/>
      <c r="R10" s="27"/>
      <c r="U10" s="25"/>
      <c r="V10" s="25"/>
      <c r="W10" s="25"/>
    </row>
    <row r="11" spans="3:23" ht="14" thickBot="1" x14ac:dyDescent="0.2">
      <c r="C11" s="13"/>
      <c r="D11" s="115">
        <f>'Base figures'!I10</f>
        <v>2018</v>
      </c>
      <c r="E11" s="400"/>
      <c r="F11" s="115">
        <f>'Base figures'!K10</f>
        <v>2019</v>
      </c>
      <c r="G11" s="115">
        <f>'Base figures'!L10</f>
        <v>2020</v>
      </c>
      <c r="H11" s="115">
        <f>'Base figures'!M10</f>
        <v>2021</v>
      </c>
      <c r="I11" s="115">
        <f>'Base figures'!N10</f>
        <v>2022</v>
      </c>
      <c r="J11" s="115">
        <f>'Base figures'!O10</f>
        <v>2023</v>
      </c>
      <c r="K11" s="115">
        <f>'Base figures'!P10</f>
        <v>2024</v>
      </c>
      <c r="L11" s="115">
        <f>'Base figures'!Q10</f>
        <v>2025</v>
      </c>
      <c r="M11" s="115">
        <f>'Base figures'!R10</f>
        <v>2026</v>
      </c>
      <c r="N11" s="425">
        <v>2027</v>
      </c>
      <c r="O11" s="425">
        <v>2028</v>
      </c>
      <c r="Q11" s="57" t="s">
        <v>18</v>
      </c>
      <c r="R11" s="30"/>
      <c r="U11" s="25"/>
      <c r="V11" s="25"/>
      <c r="W11" s="25"/>
    </row>
    <row r="12" spans="3:23" ht="14" thickTop="1" x14ac:dyDescent="0.15">
      <c r="C12" s="298" t="s">
        <v>252</v>
      </c>
      <c r="D12" s="259">
        <f>'Base figures'!I11</f>
        <v>15</v>
      </c>
      <c r="E12" s="203"/>
      <c r="F12" s="259">
        <f>'Base figures'!K11</f>
        <v>72</v>
      </c>
      <c r="G12" s="259">
        <f>'Base figures'!L11</f>
        <v>856</v>
      </c>
      <c r="H12" s="259">
        <f>'Base figures'!M11</f>
        <v>1556</v>
      </c>
      <c r="I12" s="259">
        <f>'Base figures'!N11</f>
        <v>2093</v>
      </c>
      <c r="J12" s="259">
        <f>'Base figures'!O11</f>
        <v>2693</v>
      </c>
      <c r="K12" s="259">
        <f>'Base figures'!P11</f>
        <v>2743</v>
      </c>
      <c r="L12" s="259">
        <f>'Base figures'!Q11</f>
        <v>2743</v>
      </c>
      <c r="M12" s="259">
        <f>'Base figures'!R11</f>
        <v>2743</v>
      </c>
      <c r="N12" s="259">
        <f>'Base figures'!S11</f>
        <v>2743</v>
      </c>
      <c r="O12" s="259">
        <f>'Base figures'!T11</f>
        <v>2743</v>
      </c>
      <c r="Q12"/>
      <c r="R12" s="25"/>
      <c r="U12" s="25"/>
      <c r="V12" s="25"/>
      <c r="W12" s="25"/>
    </row>
    <row r="13" spans="3:23" ht="14" thickBot="1" x14ac:dyDescent="0.2">
      <c r="C13" s="11" t="s">
        <v>43</v>
      </c>
      <c r="D13" s="4">
        <f>SUM(D14:D18)</f>
        <v>37149.021739130432</v>
      </c>
      <c r="E13" s="398"/>
      <c r="F13" s="4">
        <f>SUM(F14:F18)</f>
        <v>147463.04347826086</v>
      </c>
      <c r="G13" s="4">
        <f>SUM(G14:G18)</f>
        <v>533081.07956521749</v>
      </c>
      <c r="H13" s="4">
        <f>SUM(H14:H18)</f>
        <v>898532.73913043481</v>
      </c>
      <c r="I13" s="4">
        <f>SUM(I14:I17)</f>
        <v>1010767.8107652174</v>
      </c>
      <c r="J13" s="4">
        <f>SUM(J14:J17)</f>
        <v>1293463.8160641307</v>
      </c>
      <c r="K13" s="4">
        <f t="shared" ref="K13:M13" si="0">SUM(K14:K17)</f>
        <v>1307361.9619010873</v>
      </c>
      <c r="L13" s="4">
        <f t="shared" si="0"/>
        <v>1295867.8977839679</v>
      </c>
      <c r="M13" s="4">
        <f t="shared" si="0"/>
        <v>1311190.4348088184</v>
      </c>
      <c r="N13" s="4">
        <f t="shared" ref="N13:O13" si="1">SUM(N14:N17)</f>
        <v>1327279.0986849114</v>
      </c>
      <c r="O13" s="4">
        <f t="shared" si="1"/>
        <v>1344172.1957548091</v>
      </c>
      <c r="Q13" s="17">
        <f>SUM(Q14:Q18)</f>
        <v>10506329.099675989</v>
      </c>
      <c r="R13" s="31"/>
      <c r="U13" s="25"/>
      <c r="V13" s="25"/>
      <c r="W13" s="25"/>
    </row>
    <row r="14" spans="3:23" ht="14" outlineLevel="1" thickTop="1" x14ac:dyDescent="0.15">
      <c r="C14" s="112" t="s">
        <v>249</v>
      </c>
      <c r="D14" s="35">
        <f>Sales!E13</f>
        <v>0</v>
      </c>
      <c r="E14" s="397"/>
      <c r="F14" s="35">
        <f>Sales!G18</f>
        <v>0</v>
      </c>
      <c r="G14" s="35">
        <f>Sales!H18</f>
        <v>279332.78608695656</v>
      </c>
      <c r="H14" s="35">
        <f>Sales!I18</f>
        <v>542019.2869565218</v>
      </c>
      <c r="I14" s="35">
        <f>Sales!J18</f>
        <v>740162.77815652185</v>
      </c>
      <c r="J14" s="35">
        <f>Sales!K18</f>
        <v>942229.31728695671</v>
      </c>
      <c r="K14" s="35">
        <f>Sales!L18</f>
        <v>942229.31728695671</v>
      </c>
      <c r="L14" s="35">
        <f>Sales!M18</f>
        <v>942229.31728695671</v>
      </c>
      <c r="M14" s="35">
        <f>Sales!N18</f>
        <v>942229.31728695671</v>
      </c>
      <c r="N14" s="35">
        <f>Sales!O18</f>
        <v>942229.31728695671</v>
      </c>
      <c r="O14" s="35">
        <f>Sales!P18</f>
        <v>942229.31728695671</v>
      </c>
      <c r="Q14" s="29">
        <f t="shared" ref="Q14" si="2">SUM(D14:O14)</f>
        <v>7214890.7549217418</v>
      </c>
      <c r="R14" s="31"/>
      <c r="U14" s="25"/>
      <c r="V14" s="25"/>
      <c r="W14" s="25"/>
    </row>
    <row r="15" spans="3:23" outlineLevel="1" x14ac:dyDescent="0.15">
      <c r="C15" s="112" t="s">
        <v>250</v>
      </c>
      <c r="D15" s="35">
        <f>Sales!E27</f>
        <v>0</v>
      </c>
      <c r="E15" s="397"/>
      <c r="F15" s="35">
        <f>Sales!G27</f>
        <v>16217.391304347826</v>
      </c>
      <c r="G15" s="35">
        <f>Sales!H27</f>
        <v>30434.782608695652</v>
      </c>
      <c r="H15" s="35">
        <f>Sales!I27</f>
        <v>67391.304347826081</v>
      </c>
      <c r="I15" s="35">
        <f>Sales!J27</f>
        <v>67391.304347826081</v>
      </c>
      <c r="J15" s="35">
        <f>Sales!K27</f>
        <v>63043.478260869568</v>
      </c>
      <c r="K15" s="35">
        <f>Sales!L27</f>
        <v>26086.956521739132</v>
      </c>
      <c r="L15" s="416">
        <f>Sales!M27</f>
        <v>0</v>
      </c>
      <c r="M15" s="35">
        <f>Sales!N27</f>
        <v>0</v>
      </c>
      <c r="N15" s="35">
        <f>Sales!O27</f>
        <v>0</v>
      </c>
      <c r="O15" s="35">
        <f>Sales!P27</f>
        <v>0</v>
      </c>
      <c r="Q15" s="29">
        <f>SUM(D15:O15)</f>
        <v>270565.21739130432</v>
      </c>
      <c r="R15" s="31"/>
      <c r="U15" s="25"/>
      <c r="V15" s="25"/>
      <c r="W15" s="25"/>
    </row>
    <row r="16" spans="3:23" outlineLevel="1" x14ac:dyDescent="0.15">
      <c r="C16" s="112" t="s">
        <v>251</v>
      </c>
      <c r="D16" s="35">
        <f>Sales!E36</f>
        <v>4975.108695652174</v>
      </c>
      <c r="E16" s="397"/>
      <c r="F16" s="35">
        <f>Sales!G36</f>
        <v>31245.652173913044</v>
      </c>
      <c r="G16" s="35">
        <f>Sales!H36</f>
        <v>59658.260869565231</v>
      </c>
      <c r="H16" s="35">
        <f>Sales!I36</f>
        <v>114169.14782608699</v>
      </c>
      <c r="I16" s="35">
        <f>Sales!J36</f>
        <v>168691.12826086959</v>
      </c>
      <c r="J16" s="35">
        <f>Sales!K36</f>
        <v>241003.18051630439</v>
      </c>
      <c r="K16" s="35">
        <f>Sales!L36</f>
        <v>291857.84809239139</v>
      </c>
      <c r="L16" s="35">
        <f>Sales!M36</f>
        <v>306450.74049701099</v>
      </c>
      <c r="M16" s="35">
        <f>Sales!N36</f>
        <v>321773.27752186154</v>
      </c>
      <c r="N16" s="35">
        <f>Sales!O36</f>
        <v>337861.94139795465</v>
      </c>
      <c r="O16" s="35">
        <f>Sales!P36</f>
        <v>354755.0384678524</v>
      </c>
      <c r="Q16" s="29">
        <f t="shared" ref="Q16:Q18" si="3">SUM(D16:O16)</f>
        <v>2232441.3243194623</v>
      </c>
      <c r="R16" s="31"/>
      <c r="U16" s="25"/>
      <c r="V16" s="25"/>
      <c r="W16" s="25"/>
    </row>
    <row r="17" spans="3:23" outlineLevel="1" x14ac:dyDescent="0.15">
      <c r="C17" s="112" t="s">
        <v>199</v>
      </c>
      <c r="D17" s="35">
        <f>Sales!E48</f>
        <v>0</v>
      </c>
      <c r="E17" s="203"/>
      <c r="F17" s="35">
        <f>Sales!G48</f>
        <v>0</v>
      </c>
      <c r="G17" s="35">
        <f>Sales!H48</f>
        <v>13655.25</v>
      </c>
      <c r="H17" s="35">
        <f>Sales!I48</f>
        <v>24952.999999999996</v>
      </c>
      <c r="I17" s="35">
        <f>Sales!J48</f>
        <v>34522.6</v>
      </c>
      <c r="J17" s="35">
        <f>Sales!K48</f>
        <v>47187.839999999997</v>
      </c>
      <c r="K17" s="35">
        <f>Sales!L48</f>
        <v>47187.839999999997</v>
      </c>
      <c r="L17" s="35">
        <f>Sales!M48</f>
        <v>47187.839999999997</v>
      </c>
      <c r="M17" s="35">
        <f>Sales!N48</f>
        <v>47187.839999999997</v>
      </c>
      <c r="N17" s="35">
        <f>Sales!O48</f>
        <v>47187.839999999997</v>
      </c>
      <c r="O17" s="35">
        <f>Sales!P48</f>
        <v>47187.839999999997</v>
      </c>
      <c r="Q17" s="29">
        <f t="shared" si="3"/>
        <v>356257.89</v>
      </c>
      <c r="R17" s="31"/>
      <c r="U17" s="25"/>
      <c r="V17" s="25"/>
      <c r="W17" s="25"/>
    </row>
    <row r="18" spans="3:23" outlineLevel="1" x14ac:dyDescent="0.15">
      <c r="C18" s="112" t="s">
        <v>288</v>
      </c>
      <c r="D18" s="35">
        <f>Sales!E51</f>
        <v>32173.91304347826</v>
      </c>
      <c r="E18" s="203"/>
      <c r="F18" s="35">
        <f>Sales!G51</f>
        <v>100000</v>
      </c>
      <c r="G18" s="35">
        <f>Sales!H51</f>
        <v>150000</v>
      </c>
      <c r="H18" s="35">
        <f>Sales!I51</f>
        <v>150000</v>
      </c>
      <c r="I18" s="35">
        <f>Sales!J51</f>
        <v>0</v>
      </c>
      <c r="J18" s="35">
        <f>Sales!K51</f>
        <v>0</v>
      </c>
      <c r="K18" s="35">
        <f>Sales!L51</f>
        <v>0</v>
      </c>
      <c r="L18" s="35">
        <f>Sales!M51</f>
        <v>0</v>
      </c>
      <c r="M18" s="35">
        <f>Sales!N51</f>
        <v>0</v>
      </c>
      <c r="N18" s="35">
        <f>Sales!O51</f>
        <v>0</v>
      </c>
      <c r="O18" s="35">
        <f>Sales!P51</f>
        <v>0</v>
      </c>
      <c r="Q18" s="29">
        <f t="shared" si="3"/>
        <v>432173.91304347827</v>
      </c>
      <c r="R18" s="31"/>
      <c r="U18" s="25"/>
      <c r="V18" s="25"/>
      <c r="W18" s="25"/>
    </row>
    <row r="19" spans="3:23" ht="15" customHeight="1" x14ac:dyDescent="0.15">
      <c r="C19" s="13"/>
      <c r="D19" s="197"/>
      <c r="E19" s="20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  <c r="Q19" s="35"/>
      <c r="R19" s="36"/>
      <c r="U19" s="25"/>
      <c r="V19" s="25"/>
      <c r="W19" s="25"/>
    </row>
    <row r="20" spans="3:23" ht="14" thickBot="1" x14ac:dyDescent="0.2">
      <c r="C20" s="11" t="s">
        <v>266</v>
      </c>
      <c r="D20" s="4">
        <f t="shared" ref="D20:O20" si="4">SUM(D21:D23)</f>
        <v>12063.670000000002</v>
      </c>
      <c r="E20" s="398"/>
      <c r="F20" s="4">
        <f t="shared" si="4"/>
        <v>70000</v>
      </c>
      <c r="G20" s="4">
        <f>SUM(G21:G23)</f>
        <v>45000</v>
      </c>
      <c r="H20" s="4">
        <f t="shared" si="4"/>
        <v>27500</v>
      </c>
      <c r="I20" s="4">
        <f t="shared" si="4"/>
        <v>27500</v>
      </c>
      <c r="J20" s="4">
        <f t="shared" si="4"/>
        <v>7500</v>
      </c>
      <c r="K20" s="4">
        <f t="shared" si="4"/>
        <v>7500</v>
      </c>
      <c r="L20" s="4">
        <f t="shared" si="4"/>
        <v>7500</v>
      </c>
      <c r="M20" s="4">
        <f t="shared" si="4"/>
        <v>7500</v>
      </c>
      <c r="N20" s="4">
        <f t="shared" si="4"/>
        <v>7500</v>
      </c>
      <c r="O20" s="4">
        <f t="shared" si="4"/>
        <v>7500</v>
      </c>
      <c r="Q20" s="17">
        <f>SUM(Q21:Q23)</f>
        <v>227063.66999999998</v>
      </c>
      <c r="R20" s="36"/>
      <c r="U20" s="25"/>
      <c r="V20" s="25"/>
      <c r="W20" s="25"/>
    </row>
    <row r="21" spans="3:23" ht="14" outlineLevel="1" thickTop="1" x14ac:dyDescent="0.15">
      <c r="C21" s="111" t="s">
        <v>294</v>
      </c>
      <c r="D21" s="197">
        <f>7700+435.71+143.68+90.28+706.7+2987.3</f>
        <v>12063.670000000002</v>
      </c>
      <c r="E21" s="203"/>
      <c r="F21" s="440">
        <v>40000</v>
      </c>
      <c r="G21" s="440">
        <v>15000</v>
      </c>
      <c r="H21" s="440">
        <v>15000</v>
      </c>
      <c r="I21" s="440">
        <v>15000</v>
      </c>
      <c r="J21" s="36"/>
      <c r="K21" s="36"/>
      <c r="L21" s="36"/>
      <c r="M21" s="36"/>
      <c r="N21" s="36"/>
      <c r="O21" s="36"/>
      <c r="P21" s="35"/>
      <c r="Q21" s="29">
        <f t="shared" ref="Q21:Q23" si="5">SUM(D21:O21)</f>
        <v>97063.67</v>
      </c>
      <c r="R21" s="36"/>
      <c r="U21" s="25"/>
      <c r="V21" s="25"/>
      <c r="W21" s="25"/>
    </row>
    <row r="22" spans="3:23" outlineLevel="1" x14ac:dyDescent="0.15">
      <c r="C22" s="112" t="s">
        <v>269</v>
      </c>
      <c r="D22" s="197"/>
      <c r="E22" s="203"/>
      <c r="F22" s="440">
        <v>5000</v>
      </c>
      <c r="G22" s="440">
        <v>5000</v>
      </c>
      <c r="H22" s="440">
        <v>5000</v>
      </c>
      <c r="I22" s="440">
        <v>5000</v>
      </c>
      <c r="J22" s="36"/>
      <c r="K22" s="36"/>
      <c r="L22" s="36"/>
      <c r="M22" s="36"/>
      <c r="N22" s="36"/>
      <c r="O22" s="36"/>
      <c r="P22" s="35"/>
      <c r="Q22" s="29">
        <f t="shared" si="5"/>
        <v>20000</v>
      </c>
      <c r="R22" s="36"/>
      <c r="U22" s="25"/>
      <c r="V22" s="25"/>
      <c r="W22" s="25"/>
    </row>
    <row r="23" spans="3:23" outlineLevel="1" x14ac:dyDescent="0.15">
      <c r="C23" s="112" t="s">
        <v>319</v>
      </c>
      <c r="D23" s="197"/>
      <c r="E23" s="203"/>
      <c r="F23" s="440">
        <v>25000</v>
      </c>
      <c r="G23" s="440">
        <v>25000</v>
      </c>
      <c r="H23" s="36">
        <v>7500</v>
      </c>
      <c r="I23" s="36">
        <v>7500</v>
      </c>
      <c r="J23" s="36">
        <v>7500</v>
      </c>
      <c r="K23" s="36">
        <v>7500</v>
      </c>
      <c r="L23" s="36">
        <v>7500</v>
      </c>
      <c r="M23" s="36">
        <v>7500</v>
      </c>
      <c r="N23" s="36">
        <v>7500</v>
      </c>
      <c r="O23" s="36">
        <v>7500</v>
      </c>
      <c r="P23" s="35"/>
      <c r="Q23" s="29">
        <f t="shared" si="5"/>
        <v>110000</v>
      </c>
      <c r="R23" s="36"/>
      <c r="U23" s="25"/>
      <c r="V23" s="25"/>
      <c r="W23" s="25"/>
    </row>
    <row r="24" spans="3:23" s="25" customFormat="1" outlineLevel="1" x14ac:dyDescent="0.15">
      <c r="C24" s="111"/>
      <c r="D24" s="197"/>
      <c r="E24" s="20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1"/>
      <c r="R24" s="36"/>
    </row>
    <row r="25" spans="3:23" ht="14" thickBot="1" x14ac:dyDescent="0.2">
      <c r="C25" s="11" t="s">
        <v>265</v>
      </c>
      <c r="D25" s="4">
        <f t="shared" ref="D25:O25" si="6">SUM(D26:D28)</f>
        <v>661.5</v>
      </c>
      <c r="E25" s="398"/>
      <c r="F25" s="4">
        <f t="shared" si="6"/>
        <v>31228.628876811592</v>
      </c>
      <c r="G25" s="4">
        <f>SUM(G26:G28)</f>
        <v>44788.883079710147</v>
      </c>
      <c r="H25" s="4">
        <f t="shared" si="6"/>
        <v>57933.585615942029</v>
      </c>
      <c r="I25" s="4">
        <f t="shared" si="6"/>
        <v>67123.975485507253</v>
      </c>
      <c r="J25" s="4">
        <f t="shared" si="6"/>
        <v>74821.438638405802</v>
      </c>
      <c r="K25" s="4">
        <f t="shared" si="6"/>
        <v>76136.922560282605</v>
      </c>
      <c r="L25" s="4">
        <f t="shared" si="6"/>
        <v>76150.445531094869</v>
      </c>
      <c r="M25" s="4">
        <f t="shared" si="6"/>
        <v>76443.955095073266</v>
      </c>
      <c r="N25" s="4">
        <f t="shared" si="6"/>
        <v>43676.520998587861</v>
      </c>
      <c r="O25" s="4">
        <f t="shared" si="6"/>
        <v>48159.399986932527</v>
      </c>
      <c r="Q25" s="17">
        <f>SUM(Q26:Q28)</f>
        <v>597125.25586834806</v>
      </c>
      <c r="R25" s="36"/>
      <c r="U25" s="25"/>
      <c r="V25" s="25"/>
      <c r="W25" s="25"/>
    </row>
    <row r="26" spans="3:23" ht="14" outlineLevel="1" thickTop="1" x14ac:dyDescent="0.15">
      <c r="C26" s="111" t="s">
        <v>267</v>
      </c>
      <c r="D26" s="197">
        <v>661.5</v>
      </c>
      <c r="E26" s="203"/>
      <c r="F26" s="36">
        <v>5000</v>
      </c>
      <c r="G26" s="36">
        <f>F26*1.11</f>
        <v>5550.0000000000009</v>
      </c>
      <c r="H26" s="36">
        <f t="shared" ref="H26:O26" si="7">G26*1.11</f>
        <v>6160.5000000000018</v>
      </c>
      <c r="I26" s="36">
        <f t="shared" si="7"/>
        <v>6838.1550000000025</v>
      </c>
      <c r="J26" s="36">
        <f t="shared" si="7"/>
        <v>7590.3520500000031</v>
      </c>
      <c r="K26" s="36">
        <f t="shared" si="7"/>
        <v>8425.2907755000051</v>
      </c>
      <c r="L26" s="36">
        <f t="shared" si="7"/>
        <v>9352.0727608050056</v>
      </c>
      <c r="M26" s="36">
        <f t="shared" si="7"/>
        <v>10380.800764493557</v>
      </c>
      <c r="N26" s="36">
        <f t="shared" si="7"/>
        <v>11522.68884858785</v>
      </c>
      <c r="O26" s="36">
        <f t="shared" si="7"/>
        <v>12790.184621932514</v>
      </c>
      <c r="P26" s="35"/>
      <c r="Q26" s="29">
        <f t="shared" ref="Q26:Q28" si="8">SUM(D26:O26)</f>
        <v>84271.544821318937</v>
      </c>
      <c r="R26" s="36"/>
      <c r="U26" s="25"/>
      <c r="V26" s="25"/>
      <c r="W26" s="25"/>
    </row>
    <row r="27" spans="3:23" outlineLevel="1" x14ac:dyDescent="0.15">
      <c r="C27" s="111" t="s">
        <v>268</v>
      </c>
      <c r="D27" s="197"/>
      <c r="E27" s="203"/>
      <c r="F27" s="36">
        <v>15000</v>
      </c>
      <c r="G27" s="36">
        <f>F27*1.1</f>
        <v>16500</v>
      </c>
      <c r="H27" s="36">
        <f t="shared" ref="H27:O27" si="9">G27*1.1</f>
        <v>18150</v>
      </c>
      <c r="I27" s="36">
        <f t="shared" si="9"/>
        <v>19965</v>
      </c>
      <c r="J27" s="36">
        <f t="shared" si="9"/>
        <v>21961.5</v>
      </c>
      <c r="K27" s="36">
        <f t="shared" si="9"/>
        <v>24157.65</v>
      </c>
      <c r="L27" s="36">
        <f t="shared" si="9"/>
        <v>26573.415000000005</v>
      </c>
      <c r="M27" s="36">
        <f t="shared" si="9"/>
        <v>29230.756500000007</v>
      </c>
      <c r="N27" s="36">
        <f t="shared" si="9"/>
        <v>32153.832150000009</v>
      </c>
      <c r="O27" s="36">
        <f t="shared" si="9"/>
        <v>35369.215365000011</v>
      </c>
      <c r="P27" s="35"/>
      <c r="Q27" s="29">
        <f t="shared" si="8"/>
        <v>239061.36901500003</v>
      </c>
      <c r="R27" s="36"/>
      <c r="U27" s="25"/>
      <c r="V27" s="25"/>
      <c r="W27" s="25"/>
    </row>
    <row r="28" spans="3:23" outlineLevel="1" x14ac:dyDescent="0.15">
      <c r="C28" s="111" t="s">
        <v>296</v>
      </c>
      <c r="D28" s="197"/>
      <c r="E28" s="203"/>
      <c r="F28" s="36">
        <f>Assets!AG83*1%</f>
        <v>11228.628876811594</v>
      </c>
      <c r="G28" s="36">
        <f>Assets!AH83*1%</f>
        <v>22738.883079710147</v>
      </c>
      <c r="H28" s="36">
        <f>Assets!AI83*1%</f>
        <v>33623.085615942029</v>
      </c>
      <c r="I28" s="36">
        <f>Assets!AJ83*1%</f>
        <v>40320.820485507247</v>
      </c>
      <c r="J28" s="36">
        <f>Assets!AK83*1%</f>
        <v>45269.5865884058</v>
      </c>
      <c r="K28" s="36">
        <f>Assets!AL83*1%</f>
        <v>43553.981784782605</v>
      </c>
      <c r="L28" s="36">
        <f>Assets!AM83*1%</f>
        <v>40224.95777028986</v>
      </c>
      <c r="M28" s="36">
        <f>Assets!AN83*1%</f>
        <v>36832.397830579714</v>
      </c>
      <c r="N28" s="36">
        <f>Assets!AQ83*1%</f>
        <v>0</v>
      </c>
      <c r="O28" s="36">
        <f>Assets!AR83*1%</f>
        <v>0</v>
      </c>
      <c r="P28" s="35"/>
      <c r="Q28" s="29">
        <f t="shared" si="8"/>
        <v>273792.342032029</v>
      </c>
      <c r="R28" s="36"/>
      <c r="U28" s="25"/>
      <c r="V28" s="25"/>
      <c r="W28" s="25"/>
    </row>
    <row r="29" spans="3:23" x14ac:dyDescent="0.15">
      <c r="C29" s="13"/>
      <c r="D29" s="197"/>
      <c r="E29" s="20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5"/>
      <c r="R29" s="36"/>
      <c r="U29" s="25"/>
      <c r="V29" s="25"/>
      <c r="W29" s="25"/>
    </row>
    <row r="30" spans="3:23" ht="14" thickBot="1" x14ac:dyDescent="0.2">
      <c r="C30" s="11" t="s">
        <v>289</v>
      </c>
      <c r="D30" s="198"/>
      <c r="E30" s="398"/>
      <c r="F30" s="4">
        <f t="shared" ref="F30:O30" si="10">SUM(F31:F32)</f>
        <v>11562.282608695652</v>
      </c>
      <c r="G30" s="4">
        <f>SUM(G31:G32)</f>
        <v>22982.913043478264</v>
      </c>
      <c r="H30" s="4">
        <f t="shared" si="10"/>
        <v>30708.45739130435</v>
      </c>
      <c r="I30" s="4">
        <f t="shared" si="10"/>
        <v>33434.55641304348</v>
      </c>
      <c r="J30" s="4">
        <f t="shared" si="10"/>
        <v>37050.159025815221</v>
      </c>
      <c r="K30" s="4">
        <f t="shared" si="10"/>
        <v>39592.892404619568</v>
      </c>
      <c r="L30" s="4">
        <f t="shared" si="10"/>
        <v>40322.53702485055</v>
      </c>
      <c r="M30" s="4">
        <f t="shared" si="10"/>
        <v>41088.66387609308</v>
      </c>
      <c r="N30" s="4">
        <f t="shared" si="10"/>
        <v>41893.097069897733</v>
      </c>
      <c r="O30" s="4">
        <f t="shared" si="10"/>
        <v>42737.751923392621</v>
      </c>
      <c r="Q30" s="17">
        <f>SUM(F30:M30)</f>
        <v>256742.46178790019</v>
      </c>
      <c r="R30" s="31"/>
      <c r="U30" s="25"/>
      <c r="V30" s="25"/>
      <c r="W30" s="25"/>
    </row>
    <row r="31" spans="3:23" ht="14" thickTop="1" x14ac:dyDescent="0.15">
      <c r="C31" s="111" t="s">
        <v>311</v>
      </c>
      <c r="D31" s="197"/>
      <c r="E31" s="203"/>
      <c r="F31" s="190">
        <v>10000</v>
      </c>
      <c r="G31" s="190">
        <v>20000</v>
      </c>
      <c r="H31" s="190">
        <v>25000</v>
      </c>
      <c r="I31" s="190">
        <v>25000</v>
      </c>
      <c r="J31" s="190">
        <v>25000</v>
      </c>
      <c r="K31" s="190">
        <v>25000</v>
      </c>
      <c r="L31" s="190">
        <v>25000</v>
      </c>
      <c r="M31" s="190">
        <v>25000</v>
      </c>
      <c r="N31" s="190">
        <v>25000</v>
      </c>
      <c r="O31" s="190">
        <v>25000</v>
      </c>
      <c r="Q31" s="29">
        <f t="shared" ref="Q31:Q32" si="11">SUM(D31:O31)</f>
        <v>230000</v>
      </c>
      <c r="R31" s="31"/>
      <c r="U31" s="25"/>
      <c r="V31" s="25"/>
      <c r="W31" s="25"/>
    </row>
    <row r="32" spans="3:23" outlineLevel="1" x14ac:dyDescent="0.15">
      <c r="C32" s="111" t="s">
        <v>320</v>
      </c>
      <c r="D32" s="197"/>
      <c r="E32" s="203"/>
      <c r="F32" s="190">
        <f>Sales!G36*5%</f>
        <v>1562.2826086956522</v>
      </c>
      <c r="G32" s="190">
        <f>Sales!H36*5%</f>
        <v>2982.9130434782619</v>
      </c>
      <c r="H32" s="190">
        <f>Sales!I36*5%</f>
        <v>5708.4573913043496</v>
      </c>
      <c r="I32" s="190">
        <f>Sales!J36*5%</f>
        <v>8434.5564130434796</v>
      </c>
      <c r="J32" s="190">
        <f>Sales!K36*5%</f>
        <v>12050.159025815221</v>
      </c>
      <c r="K32" s="190">
        <f>Sales!L36*5%</f>
        <v>14592.89240461957</v>
      </c>
      <c r="L32" s="190">
        <f>Sales!M36*5%</f>
        <v>15322.53702485055</v>
      </c>
      <c r="M32" s="190">
        <f>Sales!N36*5%</f>
        <v>16088.663876093078</v>
      </c>
      <c r="N32" s="190">
        <f>Sales!O36*5%</f>
        <v>16893.097069897733</v>
      </c>
      <c r="O32" s="190">
        <f>Sales!P36*5%</f>
        <v>17737.751923392621</v>
      </c>
      <c r="Q32" s="29">
        <f t="shared" si="11"/>
        <v>111373.31078119052</v>
      </c>
      <c r="R32" s="31"/>
      <c r="U32" s="25"/>
      <c r="V32" s="25"/>
      <c r="W32" s="25"/>
    </row>
    <row r="33" spans="3:23" s="25" customFormat="1" x14ac:dyDescent="0.15">
      <c r="C33" s="22"/>
      <c r="D33" s="197"/>
      <c r="E33" s="203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1"/>
      <c r="R33" s="36"/>
    </row>
    <row r="34" spans="3:23" ht="14" thickBot="1" x14ac:dyDescent="0.2">
      <c r="C34" s="11" t="s">
        <v>30</v>
      </c>
      <c r="D34" s="198">
        <f>'Labour '!C41</f>
        <v>43689.130434782608</v>
      </c>
      <c r="E34" s="398"/>
      <c r="F34" s="4">
        <f>'Labour '!E41</f>
        <v>89721.739130434784</v>
      </c>
      <c r="G34" s="4">
        <f>'Labour '!F41</f>
        <v>150270.86956521741</v>
      </c>
      <c r="H34" s="4">
        <f>'Labour '!G41</f>
        <v>157571.36956521741</v>
      </c>
      <c r="I34" s="4">
        <f>'Labour '!H41</f>
        <v>151417.3293478261</v>
      </c>
      <c r="J34" s="4">
        <f>'Labour '!I41</f>
        <v>154405.58711956523</v>
      </c>
      <c r="K34" s="4">
        <f>'Labour '!J41</f>
        <v>158325.86647554347</v>
      </c>
      <c r="L34" s="4">
        <f>'Labour '!K41</f>
        <v>162442.15979932068</v>
      </c>
      <c r="M34" s="4">
        <f>'Labour '!L41</f>
        <v>166764.26778928671</v>
      </c>
      <c r="N34" s="4">
        <f>'Labour '!M41</f>
        <v>171302.48117875104</v>
      </c>
      <c r="O34" s="4">
        <f>'Labour '!N41</f>
        <v>176067.60523768861</v>
      </c>
      <c r="Q34" s="29">
        <f>SUM(D34:O34)</f>
        <v>1581978.405643634</v>
      </c>
      <c r="R34" s="36"/>
      <c r="U34" s="25"/>
      <c r="V34" s="25"/>
      <c r="W34" s="25"/>
    </row>
    <row r="35" spans="3:23" s="25" customFormat="1" ht="13.5" customHeight="1" thickTop="1" x14ac:dyDescent="0.15">
      <c r="D35" s="197"/>
      <c r="E35" s="203"/>
      <c r="F35" s="36"/>
      <c r="G35" s="36"/>
      <c r="H35" s="36"/>
      <c r="I35" s="36"/>
      <c r="J35" s="36"/>
      <c r="K35" s="36"/>
      <c r="L35" s="36"/>
      <c r="M35" s="36"/>
      <c r="N35" s="36"/>
      <c r="O35" s="36"/>
      <c r="Q35" s="46"/>
      <c r="R35" s="46"/>
    </row>
    <row r="36" spans="3:23" s="25" customFormat="1" ht="13.5" customHeight="1" thickBot="1" x14ac:dyDescent="0.2">
      <c r="C36" s="27" t="s">
        <v>259</v>
      </c>
      <c r="D36" s="198">
        <f>SUM(D37:D41)</f>
        <v>21274.080000000002</v>
      </c>
      <c r="E36" s="398"/>
      <c r="F36" s="4">
        <f>SUM(F37:F41)</f>
        <v>65240</v>
      </c>
      <c r="G36" s="4">
        <f>SUM(G37:G41)</f>
        <v>74999</v>
      </c>
      <c r="H36" s="4">
        <f t="shared" ref="H36:J36" si="12">SUM(H37:H41)</f>
        <v>86441.275000000009</v>
      </c>
      <c r="I36" s="4">
        <f t="shared" si="12"/>
        <v>94798.763749999998</v>
      </c>
      <c r="J36" s="4">
        <f t="shared" si="12"/>
        <v>95060.643649999998</v>
      </c>
      <c r="K36" s="4">
        <f t="shared" ref="K36:M36" si="13">SUM(K37:K41)</f>
        <v>95327.761148000005</v>
      </c>
      <c r="L36" s="4">
        <f t="shared" si="13"/>
        <v>95600.22099596</v>
      </c>
      <c r="M36" s="4">
        <f t="shared" si="13"/>
        <v>95878.130040879201</v>
      </c>
      <c r="N36" s="4">
        <f t="shared" ref="N36:O36" si="14">SUM(N37:N41)</f>
        <v>96161.597266696786</v>
      </c>
      <c r="O36" s="4">
        <f t="shared" si="14"/>
        <v>96450.733837030726</v>
      </c>
      <c r="P36"/>
      <c r="Q36" s="17">
        <f>SUM(Q37:Q41)</f>
        <v>917232.20568856667</v>
      </c>
      <c r="R36" s="46"/>
    </row>
    <row r="37" spans="3:23" s="25" customFormat="1" ht="13.5" customHeight="1" outlineLevel="1" thickTop="1" x14ac:dyDescent="0.15">
      <c r="C37" s="111" t="s">
        <v>19</v>
      </c>
      <c r="D37" s="197">
        <f>'Overhead costs'!D19</f>
        <v>1402.5</v>
      </c>
      <c r="E37" s="203"/>
      <c r="F37" s="36">
        <f>'Overhead costs'!F19</f>
        <v>8230.434782608696</v>
      </c>
      <c r="G37" s="36">
        <f>'Overhead costs'!G19</f>
        <v>9366.5217391304359</v>
      </c>
      <c r="H37" s="36">
        <f>'Overhead costs'!H19</f>
        <v>10678.826086956522</v>
      </c>
      <c r="I37" s="36">
        <f>'Overhead costs'!I19</f>
        <v>11386.082608695653</v>
      </c>
      <c r="J37" s="36">
        <f>'Overhead costs'!J19</f>
        <v>11613.804260869567</v>
      </c>
      <c r="K37" s="36">
        <f>'Overhead costs'!K19</f>
        <v>11846.080346086957</v>
      </c>
      <c r="L37" s="36">
        <f>'Overhead costs'!L19</f>
        <v>12083.001953008697</v>
      </c>
      <c r="M37" s="36">
        <f>'Overhead costs'!M19</f>
        <v>12324.661992068872</v>
      </c>
      <c r="N37" s="36">
        <f>'Overhead costs'!N19</f>
        <v>12571.155231910248</v>
      </c>
      <c r="O37" s="36">
        <f>'Overhead costs'!O19</f>
        <v>12822.578336548453</v>
      </c>
      <c r="Q37" s="29">
        <f t="shared" ref="Q37:Q41" si="15">SUM(D37:O37)</f>
        <v>114325.6473378841</v>
      </c>
      <c r="R37" s="46"/>
      <c r="T37" s="193"/>
    </row>
    <row r="38" spans="3:23" s="25" customFormat="1" ht="13.5" customHeight="1" outlineLevel="1" x14ac:dyDescent="0.15">
      <c r="C38" s="111" t="s">
        <v>0</v>
      </c>
      <c r="D38" s="197">
        <f>'Overhead costs'!D26</f>
        <v>2500</v>
      </c>
      <c r="E38" s="203"/>
      <c r="F38" s="36">
        <f>'Overhead costs'!F26</f>
        <v>3500</v>
      </c>
      <c r="G38" s="36">
        <f>'Overhead costs'!G26</f>
        <v>3900</v>
      </c>
      <c r="H38" s="36">
        <f>'Overhead costs'!H26</f>
        <v>4880</v>
      </c>
      <c r="I38" s="36">
        <f>'Overhead costs'!I26</f>
        <v>5456</v>
      </c>
      <c r="J38" s="36">
        <f>'Overhead costs'!J26</f>
        <v>5456</v>
      </c>
      <c r="K38" s="36">
        <f>'Overhead costs'!K26</f>
        <v>5456</v>
      </c>
      <c r="L38" s="36">
        <f>'Overhead costs'!L26</f>
        <v>5456</v>
      </c>
      <c r="M38" s="36">
        <f>'Overhead costs'!M26</f>
        <v>5456</v>
      </c>
      <c r="N38" s="36">
        <f>'Overhead costs'!N26</f>
        <v>5456</v>
      </c>
      <c r="O38" s="36">
        <f>'Overhead costs'!O26</f>
        <v>5456</v>
      </c>
      <c r="Q38" s="29">
        <f t="shared" si="15"/>
        <v>52972</v>
      </c>
      <c r="R38" s="46"/>
    </row>
    <row r="39" spans="3:23" s="25" customFormat="1" ht="13.5" customHeight="1" outlineLevel="1" x14ac:dyDescent="0.15">
      <c r="C39" s="111" t="s">
        <v>336</v>
      </c>
      <c r="D39" s="197">
        <f>'Overhead costs'!D39</f>
        <v>8053.6</v>
      </c>
      <c r="E39" s="203"/>
      <c r="F39" s="36">
        <f>'Overhead costs'!F39</f>
        <v>35000</v>
      </c>
      <c r="G39" s="36">
        <f>'Overhead costs'!G39</f>
        <v>40950</v>
      </c>
      <c r="H39" s="36">
        <f>'Overhead costs'!H39</f>
        <v>47507.5</v>
      </c>
      <c r="I39" s="36">
        <f>'Overhead costs'!I39</f>
        <v>52281.625</v>
      </c>
      <c r="J39" s="36">
        <f>'Overhead costs'!J39</f>
        <v>52281.625</v>
      </c>
      <c r="K39" s="36">
        <f>'Overhead costs'!K39</f>
        <v>52281.625</v>
      </c>
      <c r="L39" s="36">
        <f>'Overhead costs'!L39</f>
        <v>52281.625</v>
      </c>
      <c r="M39" s="36">
        <f>'Overhead costs'!M39</f>
        <v>52281.625</v>
      </c>
      <c r="N39" s="36">
        <f>'Overhead costs'!N39</f>
        <v>52281.625</v>
      </c>
      <c r="O39" s="36">
        <f>'Overhead costs'!O39</f>
        <v>52281.625</v>
      </c>
      <c r="Q39" s="29">
        <f t="shared" si="15"/>
        <v>497482.47499999998</v>
      </c>
      <c r="R39" s="46"/>
    </row>
    <row r="40" spans="3:23" s="25" customFormat="1" ht="13.5" customHeight="1" outlineLevel="1" x14ac:dyDescent="0.15">
      <c r="C40" s="111" t="s">
        <v>29</v>
      </c>
      <c r="D40" s="197">
        <f>'Overhead costs'!D42</f>
        <v>6864.16</v>
      </c>
      <c r="E40" s="203"/>
      <c r="F40" s="36">
        <f>'Overhead costs'!F42</f>
        <v>10000</v>
      </c>
      <c r="G40" s="36">
        <f>'Overhead costs'!G42</f>
        <v>11000</v>
      </c>
      <c r="H40" s="36">
        <f>'Overhead costs'!H42</f>
        <v>12100.000000000002</v>
      </c>
      <c r="I40" s="36">
        <f>'Overhead costs'!I42</f>
        <v>13310.000000000004</v>
      </c>
      <c r="J40" s="36">
        <f>'Overhead costs'!J42</f>
        <v>13310.000000000004</v>
      </c>
      <c r="K40" s="36">
        <f>'Overhead costs'!K42</f>
        <v>13310.000000000004</v>
      </c>
      <c r="L40" s="36">
        <f>'Overhead costs'!L42</f>
        <v>13310.000000000004</v>
      </c>
      <c r="M40" s="36">
        <f>'Overhead costs'!M42</f>
        <v>13310.000000000004</v>
      </c>
      <c r="N40" s="36">
        <f>'Overhead costs'!N42</f>
        <v>13310.000000000004</v>
      </c>
      <c r="O40" s="36">
        <f>'Overhead costs'!O42</f>
        <v>13310.000000000004</v>
      </c>
      <c r="P40"/>
      <c r="Q40" s="29">
        <f t="shared" si="15"/>
        <v>133134.16</v>
      </c>
      <c r="R40" s="46"/>
    </row>
    <row r="41" spans="3:23" s="25" customFormat="1" ht="13.5" customHeight="1" outlineLevel="1" x14ac:dyDescent="0.15">
      <c r="C41" s="111" t="s">
        <v>150</v>
      </c>
      <c r="D41" s="197">
        <f>'Overhead costs'!D45</f>
        <v>2453.8199999999997</v>
      </c>
      <c r="E41" s="203"/>
      <c r="F41" s="36">
        <f>'Overhead costs'!F45</f>
        <v>8509.565217391304</v>
      </c>
      <c r="G41" s="36">
        <f>'Overhead costs'!G45</f>
        <v>9782.4782608695641</v>
      </c>
      <c r="H41" s="36">
        <f>'Overhead costs'!H45</f>
        <v>11274.948913043479</v>
      </c>
      <c r="I41" s="36">
        <f>'Overhead costs'!I45</f>
        <v>12365.056141304347</v>
      </c>
      <c r="J41" s="36">
        <f>'Overhead costs'!J45</f>
        <v>12399.214389130435</v>
      </c>
      <c r="K41" s="36">
        <f>'Overhead costs'!K45</f>
        <v>12434.055801913044</v>
      </c>
      <c r="L41" s="36">
        <f>'Overhead costs'!L45</f>
        <v>12469.594042951305</v>
      </c>
      <c r="M41" s="36">
        <f>'Overhead costs'!M45</f>
        <v>12505.843048810329</v>
      </c>
      <c r="N41" s="36">
        <f>'Overhead costs'!N45</f>
        <v>12542.817034786536</v>
      </c>
      <c r="O41" s="36">
        <f>'Overhead costs'!O45</f>
        <v>12580.530500482268</v>
      </c>
      <c r="Q41" s="29">
        <f t="shared" si="15"/>
        <v>119317.92335068261</v>
      </c>
      <c r="R41" s="46"/>
    </row>
    <row r="42" spans="3:23" x14ac:dyDescent="0.15">
      <c r="C42" s="13"/>
      <c r="D42" s="20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2"/>
    </row>
    <row r="43" spans="3:23" ht="14" thickBot="1" x14ac:dyDescent="0.2">
      <c r="C43" s="27" t="s">
        <v>120</v>
      </c>
      <c r="D43" s="170">
        <f>D13-D30-D20-D25-D34-D36</f>
        <v>-40539.358695652176</v>
      </c>
      <c r="E43" s="401"/>
      <c r="F43" s="170">
        <f>F13-F30-F20-F25-F34-F36</f>
        <v>-120289.60713768116</v>
      </c>
      <c r="G43" s="415">
        <f t="shared" ref="G43:O43" si="16">G13-G30-G20-G25-G34-G36</f>
        <v>195039.41387681168</v>
      </c>
      <c r="H43" s="170">
        <f t="shared" si="16"/>
        <v>538378.05155797105</v>
      </c>
      <c r="I43" s="415">
        <f>I13-I30-I20-I25-I34-I36</f>
        <v>636493.18576884049</v>
      </c>
      <c r="J43" s="170">
        <f t="shared" si="16"/>
        <v>924625.98763034435</v>
      </c>
      <c r="K43" s="170">
        <f t="shared" si="16"/>
        <v>930478.5193126417</v>
      </c>
      <c r="L43" s="170">
        <f t="shared" si="16"/>
        <v>913852.53443274181</v>
      </c>
      <c r="M43" s="170">
        <f t="shared" si="16"/>
        <v>923515.41800748627</v>
      </c>
      <c r="N43" s="170">
        <f t="shared" si="16"/>
        <v>966745.40217097814</v>
      </c>
      <c r="O43" s="170">
        <f t="shared" si="16"/>
        <v>973256.70476976468</v>
      </c>
      <c r="Q43" s="17">
        <f>SUM(D43:O43)</f>
        <v>6841556.2516942471</v>
      </c>
      <c r="R43" s="32"/>
    </row>
    <row r="44" spans="3:23" ht="14" thickTop="1" x14ac:dyDescent="0.15">
      <c r="C44" s="13"/>
      <c r="D44" s="202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13"/>
      <c r="Q44" s="13"/>
      <c r="R44" s="22"/>
    </row>
    <row r="45" spans="3:23" ht="14" thickBot="1" x14ac:dyDescent="0.2">
      <c r="C45" s="11" t="s">
        <v>7</v>
      </c>
      <c r="D45" s="206">
        <f>+Assets!T83</f>
        <v>6173.913043478261</v>
      </c>
      <c r="E45" s="398"/>
      <c r="F45" s="37">
        <f>Assets!U83</f>
        <v>84787.329710144928</v>
      </c>
      <c r="G45" s="37">
        <f>Assets!V83</f>
        <v>177169.57971014493</v>
      </c>
      <c r="H45" s="37">
        <f>Assets!W83</f>
        <v>275249.74637681164</v>
      </c>
      <c r="I45" s="37">
        <f>Assets!X83</f>
        <v>346208.51304347831</v>
      </c>
      <c r="J45" s="37">
        <f>Assets!Y83</f>
        <v>430485.58971014491</v>
      </c>
      <c r="K45" s="37">
        <f>Assets!Z83</f>
        <v>447962.51079710142</v>
      </c>
      <c r="L45" s="37">
        <f>Assets!AA83</f>
        <v>447604.43188405799</v>
      </c>
      <c r="M45" s="37">
        <f>Assets!AB83</f>
        <v>452008.89657971018</v>
      </c>
      <c r="N45" s="37">
        <f>Assets!AC83</f>
        <v>450929.36127536232</v>
      </c>
      <c r="O45" s="37">
        <f>Assets!AD83</f>
        <v>448643.51292753627</v>
      </c>
      <c r="Q45" s="17">
        <f>SUM(D45:O45)</f>
        <v>3567223.3850579713</v>
      </c>
      <c r="R45" s="31"/>
    </row>
    <row r="46" spans="3:23" ht="14" thickTop="1" x14ac:dyDescent="0.15">
      <c r="C46" s="11"/>
      <c r="D46" s="205"/>
      <c r="E46" s="39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1"/>
    </row>
    <row r="47" spans="3:23" ht="14" thickBot="1" x14ac:dyDescent="0.2">
      <c r="C47" s="27" t="s">
        <v>121</v>
      </c>
      <c r="D47" s="204">
        <f>D43-D45</f>
        <v>-46713.27173913044</v>
      </c>
      <c r="E47" s="401"/>
      <c r="F47" s="170">
        <f t="shared" ref="F47:O47" si="17">+F43-F45</f>
        <v>-205076.93684782609</v>
      </c>
      <c r="G47" s="170">
        <f>+G43-G45</f>
        <v>17869.834166666755</v>
      </c>
      <c r="H47" s="170">
        <f t="shared" si="17"/>
        <v>263128.30518115941</v>
      </c>
      <c r="I47" s="170">
        <f>+I43-I45</f>
        <v>290284.67272536218</v>
      </c>
      <c r="J47" s="170">
        <f t="shared" si="17"/>
        <v>494140.39792019944</v>
      </c>
      <c r="K47" s="170">
        <f t="shared" si="17"/>
        <v>482516.00851554028</v>
      </c>
      <c r="L47" s="170">
        <f t="shared" si="17"/>
        <v>466248.10254868382</v>
      </c>
      <c r="M47" s="170">
        <f t="shared" si="17"/>
        <v>471506.52142777608</v>
      </c>
      <c r="N47" s="170">
        <f t="shared" si="17"/>
        <v>515816.04089561582</v>
      </c>
      <c r="O47" s="170">
        <f t="shared" si="17"/>
        <v>524613.19184222841</v>
      </c>
      <c r="Q47" s="17">
        <f>SUM(D47:O47)</f>
        <v>3274332.8666362753</v>
      </c>
      <c r="R47" s="31"/>
    </row>
    <row r="48" spans="3:23" ht="14" thickTop="1" x14ac:dyDescent="0.15">
      <c r="C48" s="27" t="s">
        <v>118</v>
      </c>
      <c r="D48" s="203"/>
      <c r="E48" s="203"/>
      <c r="F48" s="36">
        <f>'Financial Costs'!I95</f>
        <v>74744.5</v>
      </c>
      <c r="G48" s="36">
        <f>'Financial Costs'!I96</f>
        <v>208781.49277676712</v>
      </c>
      <c r="H48" s="36">
        <f>'Financial Costs'!I97</f>
        <v>189626.97333092155</v>
      </c>
      <c r="I48" s="36">
        <f>'Financial Costs'!I98</f>
        <v>175894.27765235578</v>
      </c>
      <c r="J48" s="36">
        <f>'Financial Costs'!I99</f>
        <v>161223.51898744202</v>
      </c>
      <c r="K48" s="36">
        <f>'Financial Costs'!I100</f>
        <v>145548.32354395281</v>
      </c>
      <c r="L48" s="36">
        <f>'Financial Costs'!I101</f>
        <v>129335.62100551889</v>
      </c>
      <c r="M48" s="36">
        <f>'Financial Costs'!I102</f>
        <v>111984.39008193347</v>
      </c>
      <c r="N48" s="36">
        <f>'Financial Costs'!I103</f>
        <v>93413.057771459877</v>
      </c>
      <c r="O48" s="36">
        <f>'Financial Costs'!I104</f>
        <v>83974.981423876292</v>
      </c>
      <c r="P48" s="13"/>
      <c r="Q48" s="29">
        <f>SUM(D48:O48)</f>
        <v>1374527.1365742278</v>
      </c>
      <c r="R48" s="22"/>
    </row>
    <row r="49" spans="3:18" s="1" customFormat="1" x14ac:dyDescent="0.15">
      <c r="C49" s="11" t="s">
        <v>119</v>
      </c>
      <c r="D49" s="203"/>
      <c r="E49" s="203"/>
      <c r="F49" s="36"/>
      <c r="G49" s="36"/>
      <c r="H49" s="36"/>
      <c r="I49" s="36"/>
      <c r="J49" s="36"/>
      <c r="K49" s="36"/>
      <c r="L49" s="36"/>
      <c r="M49" s="36"/>
      <c r="N49" s="36"/>
      <c r="O49" s="36"/>
      <c r="Q49" s="13"/>
      <c r="R49" s="31"/>
    </row>
    <row r="50" spans="3:18" x14ac:dyDescent="0.15">
      <c r="C50" s="13"/>
      <c r="D50" s="20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2"/>
    </row>
    <row r="51" spans="3:18" ht="14" thickBot="1" x14ac:dyDescent="0.2">
      <c r="C51" s="11" t="s">
        <v>9</v>
      </c>
      <c r="D51" s="170">
        <f>D43-D45-D48+D49</f>
        <v>-46713.27173913044</v>
      </c>
      <c r="E51" s="402"/>
      <c r="F51" s="170">
        <f t="shared" ref="F51:O51" si="18">F43-F45-F48+F49</f>
        <v>-279821.43684782612</v>
      </c>
      <c r="G51" s="170">
        <f t="shared" si="18"/>
        <v>-190911.65861010036</v>
      </c>
      <c r="H51" s="170">
        <f t="shared" si="18"/>
        <v>73501.331850237853</v>
      </c>
      <c r="I51" s="170">
        <f t="shared" si="18"/>
        <v>114390.3950730064</v>
      </c>
      <c r="J51" s="170">
        <f t="shared" si="18"/>
        <v>332916.87893275742</v>
      </c>
      <c r="K51" s="170">
        <f t="shared" si="18"/>
        <v>336967.6849715875</v>
      </c>
      <c r="L51" s="170">
        <f t="shared" si="18"/>
        <v>336912.48154316493</v>
      </c>
      <c r="M51" s="170">
        <f t="shared" si="18"/>
        <v>359522.13134584262</v>
      </c>
      <c r="N51" s="170">
        <f t="shared" si="18"/>
        <v>422402.98312415596</v>
      </c>
      <c r="O51" s="170">
        <f t="shared" si="18"/>
        <v>440638.2104183521</v>
      </c>
      <c r="Q51" s="17">
        <f>SUM(D51:O51)</f>
        <v>1899805.730062048</v>
      </c>
      <c r="R51" s="32"/>
    </row>
    <row r="52" spans="3:18" ht="14" thickTop="1" x14ac:dyDescent="0.15">
      <c r="C52" s="13"/>
      <c r="D52" s="20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2"/>
    </row>
    <row r="53" spans="3:18" ht="14" thickBot="1" x14ac:dyDescent="0.2">
      <c r="C53" s="11" t="s">
        <v>145</v>
      </c>
      <c r="D53" s="207">
        <v>0</v>
      </c>
      <c r="E53" s="403"/>
      <c r="F53" s="207">
        <f>IF(F51&gt;Assets!H83,('P&amp;L Forecast'!F51-Assets!H83)*0.3,0)</f>
        <v>0</v>
      </c>
      <c r="G53" s="207">
        <f>IF(G51&gt;Assets!I83,('P&amp;L Forecast'!G51-Assets!I83)*0.3,0)</f>
        <v>0</v>
      </c>
      <c r="H53" s="207">
        <f>IF(H51&gt;Assets!J83,('P&amp;L Forecast'!H51-Assets!J83)*0.3,0)</f>
        <v>0</v>
      </c>
      <c r="I53" s="207">
        <f>IF(I51&gt;Assets!K83,('P&amp;L Forecast'!I51-Assets!K83)*0.3,0)</f>
        <v>0</v>
      </c>
      <c r="J53" s="207">
        <f>IF(J51&gt;Assets!L83,('P&amp;L Forecast'!J51-Assets!L83)*0.3,0)</f>
        <v>0</v>
      </c>
      <c r="K53" s="207">
        <f>IF(K51&gt;Assets!M83,('P&amp;L Forecast'!K51-Assets!M83)*0.3,0)</f>
        <v>20419.696361041464</v>
      </c>
      <c r="L53" s="207">
        <f>IF(L51&gt;Assets!N83,('P&amp;L Forecast'!L51-Assets!N83)*0.3,0)</f>
        <v>68913.135332514692</v>
      </c>
      <c r="M53" s="207">
        <f>IF(M51&gt;Assets!O83,('P&amp;L Forecast'!M51-Assets!O83)*0.3,0)</f>
        <v>76280.768621144089</v>
      </c>
      <c r="N53" s="207">
        <f>IF(N51&gt;Assets!P83,('P&amp;L Forecast'!N51-Assets!P83)*0.3,0)</f>
        <v>95145.0241546381</v>
      </c>
      <c r="O53" s="207">
        <f>IF(O51&gt;Assets!Q83,('P&amp;L Forecast'!O51-Assets!Q83)*0.3,0)</f>
        <v>100615.59234289694</v>
      </c>
      <c r="Q53" s="17">
        <f>SUM(D53:O53)</f>
        <v>361374.2168122353</v>
      </c>
      <c r="R53" s="32"/>
    </row>
    <row r="54" spans="3:18" ht="14" thickTop="1" x14ac:dyDescent="0.15">
      <c r="C54" s="13"/>
      <c r="D54" s="20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2"/>
    </row>
    <row r="55" spans="3:18" ht="14" thickBot="1" x14ac:dyDescent="0.2">
      <c r="C55" s="11" t="s">
        <v>136</v>
      </c>
      <c r="D55" s="171">
        <f>D51-D53</f>
        <v>-46713.27173913044</v>
      </c>
      <c r="E55" s="402"/>
      <c r="F55" s="171">
        <f t="shared" ref="F55:O55" si="19">F51-F53</f>
        <v>-279821.43684782612</v>
      </c>
      <c r="G55" s="171">
        <f t="shared" si="19"/>
        <v>-190911.65861010036</v>
      </c>
      <c r="H55" s="171">
        <f t="shared" si="19"/>
        <v>73501.331850237853</v>
      </c>
      <c r="I55" s="171">
        <f t="shared" si="19"/>
        <v>114390.3950730064</v>
      </c>
      <c r="J55" s="171">
        <f t="shared" si="19"/>
        <v>332916.87893275742</v>
      </c>
      <c r="K55" s="171">
        <f t="shared" si="19"/>
        <v>316547.98861054605</v>
      </c>
      <c r="L55" s="171">
        <f t="shared" si="19"/>
        <v>267999.34621065023</v>
      </c>
      <c r="M55" s="171">
        <f t="shared" si="19"/>
        <v>283241.3627246985</v>
      </c>
      <c r="N55" s="171">
        <f t="shared" si="19"/>
        <v>327257.95896951784</v>
      </c>
      <c r="O55" s="171">
        <f t="shared" si="19"/>
        <v>340022.61807545519</v>
      </c>
      <c r="Q55" s="50">
        <f>SUM(D55:O55)</f>
        <v>1538431.5132498126</v>
      </c>
      <c r="R55" s="32"/>
    </row>
    <row r="56" spans="3:18" s="15" customFormat="1" ht="12" thickTop="1" x14ac:dyDescent="0.15">
      <c r="C56" s="14"/>
      <c r="D56" s="199"/>
      <c r="E56" s="199"/>
      <c r="F56" s="28"/>
      <c r="G56" s="28"/>
      <c r="H56" s="28"/>
      <c r="I56" s="28"/>
      <c r="J56" s="28"/>
      <c r="K56" s="28"/>
      <c r="L56" s="28"/>
      <c r="M56" s="28"/>
      <c r="N56" s="28"/>
      <c r="O56" s="28"/>
      <c r="Q56" s="33"/>
      <c r="R56" s="33"/>
    </row>
    <row r="59" spans="3:18" x14ac:dyDescent="0.15">
      <c r="G59" s="8"/>
      <c r="H59" s="8"/>
      <c r="I59" s="8"/>
      <c r="J59" s="8"/>
      <c r="K59" s="8"/>
      <c r="L59" s="8"/>
      <c r="M59" s="8"/>
      <c r="N59" s="8"/>
      <c r="O59" s="8"/>
    </row>
    <row r="60" spans="3:18" x14ac:dyDescent="0.15">
      <c r="G60" s="8"/>
      <c r="H60" s="8"/>
    </row>
  </sheetData>
  <mergeCells count="1">
    <mergeCell ref="D9:Q9"/>
  </mergeCells>
  <phoneticPr fontId="5" type="noConversion"/>
  <pageMargins left="0.17" right="0.2" top="0.33" bottom="0.27" header="0.22" footer="0.17"/>
  <pageSetup paperSize="9" scale="48" orientation="portrait" copies="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8:L53"/>
  <sheetViews>
    <sheetView showGridLines="0" topLeftCell="A29" zoomScale="88" zoomScaleNormal="88" workbookViewId="0">
      <selection activeCell="A9" sqref="A9:K45"/>
    </sheetView>
  </sheetViews>
  <sheetFormatPr baseColWidth="10" defaultColWidth="11.33203125" defaultRowHeight="13" x14ac:dyDescent="0.15"/>
  <cols>
    <col min="1" max="1" width="6" style="40" customWidth="1"/>
    <col min="2" max="2" width="32" style="40" bestFit="1" customWidth="1"/>
    <col min="3" max="3" width="13" style="40" bestFit="1" customWidth="1"/>
    <col min="4" max="11" width="13.6640625" style="40" bestFit="1" customWidth="1"/>
    <col min="12" max="16384" width="11.33203125" style="40"/>
  </cols>
  <sheetData>
    <row r="8" spans="1:11" x14ac:dyDescent="0.15">
      <c r="C8" s="175"/>
      <c r="D8" s="175"/>
      <c r="E8" s="175"/>
      <c r="F8" s="175"/>
      <c r="G8" s="175"/>
    </row>
    <row r="9" spans="1:11" ht="16" x14ac:dyDescent="0.2">
      <c r="A9" s="18" t="s">
        <v>143</v>
      </c>
      <c r="C9" s="431"/>
      <c r="D9" s="432"/>
      <c r="E9" s="432"/>
      <c r="F9" s="432"/>
      <c r="G9" s="432"/>
      <c r="H9" s="432"/>
      <c r="I9" s="432"/>
      <c r="J9" s="432"/>
      <c r="K9" s="433"/>
    </row>
    <row r="11" spans="1:11" ht="14" thickBot="1" x14ac:dyDescent="0.2">
      <c r="C11" s="115">
        <v>2018</v>
      </c>
      <c r="D11" s="115">
        <f>+C11+1</f>
        <v>2019</v>
      </c>
      <c r="E11" s="115">
        <f t="shared" ref="E11:K11" si="0">+D11+1</f>
        <v>2020</v>
      </c>
      <c r="F11" s="115">
        <f t="shared" si="0"/>
        <v>2021</v>
      </c>
      <c r="G11" s="115">
        <f t="shared" si="0"/>
        <v>2022</v>
      </c>
      <c r="H11" s="115">
        <f t="shared" si="0"/>
        <v>2023</v>
      </c>
      <c r="I11" s="115">
        <f t="shared" si="0"/>
        <v>2024</v>
      </c>
      <c r="J11" s="115">
        <f t="shared" si="0"/>
        <v>2025</v>
      </c>
      <c r="K11" s="115">
        <f t="shared" si="0"/>
        <v>2026</v>
      </c>
    </row>
    <row r="12" spans="1:11" ht="15" thickTop="1" x14ac:dyDescent="0.15">
      <c r="A12" s="173" t="s">
        <v>40</v>
      </c>
      <c r="C12" s="176"/>
      <c r="D12" s="176"/>
      <c r="E12" s="176"/>
      <c r="F12" s="176"/>
      <c r="G12" s="176"/>
    </row>
    <row r="13" spans="1:11" ht="14" x14ac:dyDescent="0.15">
      <c r="A13" s="173"/>
      <c r="B13" s="254"/>
      <c r="C13" s="176"/>
      <c r="D13" s="176"/>
      <c r="E13" s="176"/>
      <c r="F13" s="176"/>
      <c r="G13" s="176"/>
    </row>
    <row r="14" spans="1:11" x14ac:dyDescent="0.15">
      <c r="B14" s="254" t="s">
        <v>122</v>
      </c>
      <c r="C14" s="293">
        <f>Assets!AF83</f>
        <v>55565.217391304344</v>
      </c>
      <c r="D14" s="293">
        <f>Assets!AG83</f>
        <v>1122862.8876811594</v>
      </c>
      <c r="E14" s="293">
        <f>Assets!AH83</f>
        <v>2273888.3079710146</v>
      </c>
      <c r="F14" s="293">
        <f>Assets!AI83</f>
        <v>3362308.5615942031</v>
      </c>
      <c r="G14" s="293">
        <f>Assets!AJ83</f>
        <v>4032082.0485507245</v>
      </c>
      <c r="H14" s="293">
        <f>Assets!AK83+67500</f>
        <v>4594458.6588405799</v>
      </c>
      <c r="I14" s="293">
        <f>Assets!AL83+60000</f>
        <v>4415398.1784782605</v>
      </c>
      <c r="J14" s="293">
        <f>Assets!AM83+42500</f>
        <v>4064995.7770289858</v>
      </c>
      <c r="K14" s="293">
        <f>Assets!AN83+25000</f>
        <v>3708239.7830579709</v>
      </c>
    </row>
    <row r="15" spans="1:11" x14ac:dyDescent="0.15">
      <c r="B15" s="254" t="s">
        <v>152</v>
      </c>
      <c r="C15" s="293"/>
      <c r="D15" s="293"/>
      <c r="E15" s="293"/>
      <c r="F15" s="293"/>
      <c r="G15" s="293"/>
      <c r="H15" s="293"/>
      <c r="I15" s="293"/>
      <c r="J15" s="293"/>
      <c r="K15" s="293"/>
    </row>
    <row r="16" spans="1:11" x14ac:dyDescent="0.15">
      <c r="B16" s="254" t="s">
        <v>123</v>
      </c>
      <c r="C16" s="293"/>
      <c r="D16" s="293"/>
      <c r="E16" s="293"/>
      <c r="F16" s="293"/>
      <c r="G16" s="293"/>
      <c r="H16" s="293"/>
      <c r="I16" s="293"/>
      <c r="J16" s="293"/>
      <c r="K16" s="293"/>
    </row>
    <row r="17" spans="1:12" x14ac:dyDescent="0.15">
      <c r="B17" s="254" t="s">
        <v>124</v>
      </c>
      <c r="C17" s="293">
        <f>+'Cash Flow'!C73</f>
        <v>-16128.489130434784</v>
      </c>
      <c r="D17" s="293">
        <f>+'Cash Flow'!O73</f>
        <v>365602.40373188409</v>
      </c>
      <c r="E17" s="293">
        <f>+'Cash Flow'!AA73</f>
        <v>2514602.8205149672</v>
      </c>
      <c r="F17" s="293">
        <f>+'Cash Flow'!AM73</f>
        <v>1188944.0569706357</v>
      </c>
      <c r="G17" s="293">
        <f>+'Cash Flow'!AY73</f>
        <v>420437.85165216745</v>
      </c>
      <c r="H17" s="293">
        <f>+'Cash Flow'!BK73</f>
        <v>-35877.688818449096</v>
      </c>
      <c r="I17" s="293">
        <f>+'Cash Flow'!BL73</f>
        <v>238623.90873702441</v>
      </c>
      <c r="J17" s="293">
        <f>+'Cash Flow'!BM73</f>
        <v>669842.0182373228</v>
      </c>
      <c r="K17" s="293">
        <f>+'Cash Flow'!BN73</f>
        <v>1065317.228552131</v>
      </c>
    </row>
    <row r="18" spans="1:12" x14ac:dyDescent="0.15">
      <c r="B18" s="254" t="s">
        <v>125</v>
      </c>
      <c r="C18" s="294">
        <f>SUM(C15:C17)</f>
        <v>-16128.489130434784</v>
      </c>
      <c r="D18" s="294">
        <f t="shared" ref="D18:I18" si="1">SUM(D15:D17)</f>
        <v>365602.40373188409</v>
      </c>
      <c r="E18" s="294">
        <f t="shared" si="1"/>
        <v>2514602.8205149672</v>
      </c>
      <c r="F18" s="294">
        <f t="shared" si="1"/>
        <v>1188944.0569706357</v>
      </c>
      <c r="G18" s="294">
        <f t="shared" si="1"/>
        <v>420437.85165216745</v>
      </c>
      <c r="H18" s="294">
        <f t="shared" si="1"/>
        <v>-35877.688818449096</v>
      </c>
      <c r="I18" s="294">
        <f t="shared" si="1"/>
        <v>238623.90873702441</v>
      </c>
      <c r="J18" s="294">
        <f t="shared" ref="J18:K18" si="2">SUM(J15:J17)</f>
        <v>669842.0182373228</v>
      </c>
      <c r="K18" s="294">
        <f t="shared" si="2"/>
        <v>1065317.228552131</v>
      </c>
    </row>
    <row r="19" spans="1:12" x14ac:dyDescent="0.15">
      <c r="B19" s="141"/>
      <c r="C19" s="294"/>
      <c r="D19" s="294"/>
      <c r="E19" s="294"/>
      <c r="F19" s="294"/>
      <c r="G19" s="294"/>
      <c r="H19" s="294"/>
      <c r="I19" s="294"/>
      <c r="J19" s="294"/>
      <c r="K19" s="294"/>
    </row>
    <row r="20" spans="1:12" x14ac:dyDescent="0.15">
      <c r="B20" s="141"/>
      <c r="C20" s="184"/>
      <c r="D20" s="184"/>
      <c r="E20" s="184"/>
      <c r="F20" s="184"/>
      <c r="G20" s="184"/>
      <c r="H20" s="141"/>
    </row>
    <row r="21" spans="1:12" ht="14" thickBot="1" x14ac:dyDescent="0.2">
      <c r="B21" s="185" t="s">
        <v>14</v>
      </c>
      <c r="C21" s="4">
        <f>+C14+C18</f>
        <v>39436.72826086956</v>
      </c>
      <c r="D21" s="4">
        <f t="shared" ref="D21:I21" si="3">+D14+D18</f>
        <v>1488465.2914130436</v>
      </c>
      <c r="E21" s="4">
        <f>+E14+E18</f>
        <v>4788491.1284859814</v>
      </c>
      <c r="F21" s="4">
        <f t="shared" si="3"/>
        <v>4551252.6185648385</v>
      </c>
      <c r="G21" s="4">
        <f t="shared" si="3"/>
        <v>4452519.9002028918</v>
      </c>
      <c r="H21" s="4">
        <f t="shared" si="3"/>
        <v>4558580.9700221308</v>
      </c>
      <c r="I21" s="4">
        <f t="shared" si="3"/>
        <v>4654022.0872152848</v>
      </c>
      <c r="J21" s="4">
        <f t="shared" ref="J21:K21" si="4">+J14+J18</f>
        <v>4734837.7952663088</v>
      </c>
      <c r="K21" s="4">
        <f t="shared" si="4"/>
        <v>4773557.0116101019</v>
      </c>
    </row>
    <row r="22" spans="1:12" ht="14" thickTop="1" x14ac:dyDescent="0.15">
      <c r="B22" s="141"/>
      <c r="C22" s="184"/>
      <c r="D22" s="184"/>
      <c r="E22" s="184"/>
      <c r="F22" s="184"/>
      <c r="G22" s="184"/>
      <c r="H22" s="141"/>
    </row>
    <row r="23" spans="1:12" ht="14" x14ac:dyDescent="0.15">
      <c r="A23" s="173" t="s">
        <v>126</v>
      </c>
      <c r="C23" s="176"/>
      <c r="D23" s="176"/>
      <c r="E23" s="176"/>
      <c r="F23" s="176"/>
      <c r="G23" s="176"/>
    </row>
    <row r="24" spans="1:12" ht="14" x14ac:dyDescent="0.15">
      <c r="A24" s="173"/>
      <c r="C24" s="294"/>
      <c r="D24" s="294"/>
      <c r="E24" s="294"/>
      <c r="F24" s="294"/>
      <c r="G24" s="294"/>
      <c r="H24" s="56"/>
      <c r="I24" s="56"/>
      <c r="J24" s="56"/>
      <c r="K24" s="56"/>
      <c r="L24" s="56"/>
    </row>
    <row r="25" spans="1:12" x14ac:dyDescent="0.15">
      <c r="B25" s="254" t="s">
        <v>127</v>
      </c>
      <c r="C25" s="293"/>
      <c r="D25" s="412">
        <f>+'Financial Costs'!K95</f>
        <v>870937.49568303814</v>
      </c>
      <c r="E25" s="412">
        <f>+'Financial Costs'!K96</f>
        <v>2995197.6539116572</v>
      </c>
      <c r="F25" s="412">
        <f>+'Financial Costs'!K97</f>
        <v>2782074.540476704</v>
      </c>
      <c r="G25" s="412">
        <f>+'Financial Costs'!K98</f>
        <v>2555218.7313631848</v>
      </c>
      <c r="H25" s="412">
        <f>+'Financial Costs'!K99</f>
        <v>2313692.163584752</v>
      </c>
      <c r="I25" s="412">
        <f>+'Financial Costs'!K100</f>
        <v>2078015.086453652</v>
      </c>
      <c r="J25" s="412">
        <f>+'Financial Costs'!K101</f>
        <v>1826125.3067841178</v>
      </c>
      <c r="K25" s="412">
        <f>+'Financial Costs'!K102</f>
        <v>1556884.2961909981</v>
      </c>
      <c r="L25" s="56"/>
    </row>
    <row r="26" spans="1:12" x14ac:dyDescent="0.15">
      <c r="B26" s="254" t="s">
        <v>128</v>
      </c>
      <c r="C26" s="293"/>
      <c r="D26" s="412">
        <f>+'Financial Costs'!J95</f>
        <v>194062.50431696177</v>
      </c>
      <c r="E26" s="413">
        <f>+'Financial Costs'!J96</f>
        <v>310739.84177138109</v>
      </c>
      <c r="F26" s="413">
        <f>+'Financial Costs'!J97</f>
        <v>213123.11343495315</v>
      </c>
      <c r="G26" s="412">
        <f>+'Financial Costs'!J98</f>
        <v>226855.80911351892</v>
      </c>
      <c r="H26" s="413">
        <f>+'Financial Costs'!J99</f>
        <v>241526.56777843268</v>
      </c>
      <c r="I26" s="413">
        <f>+'Financial Costs'!J100</f>
        <v>235677.07713110029</v>
      </c>
      <c r="J26" s="413">
        <f>+'Financial Costs'!J101</f>
        <v>251889.77966953418</v>
      </c>
      <c r="K26" s="413">
        <f>+'Financial Costs'!J102</f>
        <v>269241.0105931196</v>
      </c>
      <c r="L26" s="56"/>
    </row>
    <row r="27" spans="1:12" x14ac:dyDescent="0.15">
      <c r="B27" s="254" t="s">
        <v>129</v>
      </c>
      <c r="C27" s="293">
        <f>'Labour '!C20</f>
        <v>36150</v>
      </c>
      <c r="D27" s="293"/>
      <c r="E27" s="293">
        <f>+'P&amp;L Forecast'!G53</f>
        <v>0</v>
      </c>
      <c r="F27" s="293">
        <f>+'P&amp;L Forecast'!H53</f>
        <v>0</v>
      </c>
      <c r="G27" s="293">
        <f>+'P&amp;L Forecast'!I53</f>
        <v>0</v>
      </c>
      <c r="H27" s="293">
        <f>+'P&amp;L Forecast'!J53</f>
        <v>0</v>
      </c>
      <c r="I27" s="293">
        <f>+'P&amp;L Forecast'!K53</f>
        <v>20419.696361041464</v>
      </c>
      <c r="J27" s="293">
        <f>+'P&amp;L Forecast'!L53</f>
        <v>68913.135332514692</v>
      </c>
      <c r="K27" s="293">
        <f>+'P&amp;L Forecast'!M53</f>
        <v>76280.768621144089</v>
      </c>
      <c r="L27" s="56"/>
    </row>
    <row r="28" spans="1:12" x14ac:dyDescent="0.15">
      <c r="B28" s="252"/>
      <c r="C28" s="293"/>
      <c r="D28" s="293"/>
      <c r="E28" s="293"/>
      <c r="F28" s="293"/>
      <c r="G28" s="293"/>
      <c r="H28" s="56"/>
      <c r="I28" s="56"/>
      <c r="J28" s="56"/>
      <c r="K28" s="56"/>
      <c r="L28" s="56"/>
    </row>
    <row r="29" spans="1:12" x14ac:dyDescent="0.15">
      <c r="B29" s="141"/>
      <c r="C29" s="293"/>
      <c r="D29" s="293"/>
      <c r="E29" s="293"/>
      <c r="F29" s="293"/>
      <c r="G29" s="293"/>
      <c r="H29" s="56"/>
      <c r="I29" s="56"/>
      <c r="J29" s="56"/>
      <c r="K29" s="56"/>
      <c r="L29" s="56"/>
    </row>
    <row r="30" spans="1:12" x14ac:dyDescent="0.15">
      <c r="B30" s="1" t="s">
        <v>130</v>
      </c>
      <c r="C30" s="295">
        <f t="shared" ref="C30:I30" si="5">SUM(C25:C27)</f>
        <v>36150</v>
      </c>
      <c r="D30" s="295">
        <f t="shared" si="5"/>
        <v>1065000</v>
      </c>
      <c r="E30" s="418">
        <f>SUM(E25:E27)</f>
        <v>3305937.4956830381</v>
      </c>
      <c r="F30" s="295">
        <f>SUM(F25:F27)</f>
        <v>2995197.6539116572</v>
      </c>
      <c r="G30" s="295">
        <f t="shared" si="5"/>
        <v>2782074.5404767036</v>
      </c>
      <c r="H30" s="295">
        <f t="shared" si="5"/>
        <v>2555218.7313631848</v>
      </c>
      <c r="I30" s="295">
        <f t="shared" si="5"/>
        <v>2334111.8599457941</v>
      </c>
      <c r="J30" s="295">
        <f t="shared" ref="J30:K30" si="6">SUM(J25:J27)</f>
        <v>2146928.2217861665</v>
      </c>
      <c r="K30" s="295">
        <f t="shared" si="6"/>
        <v>1902406.0754052617</v>
      </c>
      <c r="L30" s="56"/>
    </row>
    <row r="31" spans="1:12" x14ac:dyDescent="0.15">
      <c r="B31" s="141"/>
      <c r="C31" s="293"/>
      <c r="D31" s="293"/>
      <c r="E31" s="293"/>
      <c r="F31" s="293"/>
      <c r="G31" s="293"/>
      <c r="H31" s="56"/>
      <c r="I31" s="56"/>
      <c r="J31" s="56"/>
      <c r="K31" s="56"/>
      <c r="L31" s="56"/>
    </row>
    <row r="32" spans="1:12" ht="14" x14ac:dyDescent="0.15">
      <c r="A32" s="173" t="s">
        <v>131</v>
      </c>
      <c r="C32" s="294"/>
      <c r="D32" s="294"/>
      <c r="E32" s="294"/>
      <c r="F32" s="294"/>
      <c r="G32" s="294"/>
      <c r="H32" s="56"/>
      <c r="I32" s="56"/>
      <c r="J32" s="56"/>
      <c r="K32" s="56"/>
      <c r="L32" s="56"/>
    </row>
    <row r="33" spans="2:12" x14ac:dyDescent="0.15">
      <c r="B33" s="40" t="s">
        <v>132</v>
      </c>
      <c r="C33" s="294">
        <f>'Cash Flow'!C60</f>
        <v>50000</v>
      </c>
      <c r="D33" s="294">
        <f>+C33+SUM('Cash Flow'!D60:O60)</f>
        <v>750000</v>
      </c>
      <c r="E33" s="294">
        <f>+D33+SUM('Cash Flow'!P60:AA60)</f>
        <v>2000000</v>
      </c>
      <c r="F33" s="294">
        <f>+E33+SUM('Cash Flow'!AB60:AM60)</f>
        <v>2000000</v>
      </c>
      <c r="G33" s="294">
        <f>+F33</f>
        <v>2000000</v>
      </c>
      <c r="H33" s="294">
        <f>+G33</f>
        <v>2000000</v>
      </c>
      <c r="I33" s="294">
        <f>+H33</f>
        <v>2000000</v>
      </c>
      <c r="J33" s="294">
        <f>+I33</f>
        <v>2000000</v>
      </c>
      <c r="K33" s="294">
        <f>+J33</f>
        <v>2000000</v>
      </c>
      <c r="L33" s="56"/>
    </row>
    <row r="34" spans="2:12" x14ac:dyDescent="0.15">
      <c r="B34" s="141" t="s">
        <v>151</v>
      </c>
      <c r="C34" s="296"/>
      <c r="D34" s="296"/>
      <c r="E34" s="294"/>
      <c r="F34" s="294"/>
      <c r="G34" s="294"/>
      <c r="H34" s="294"/>
      <c r="I34" s="294"/>
      <c r="J34" s="294"/>
      <c r="K34" s="294"/>
      <c r="L34" s="56"/>
    </row>
    <row r="35" spans="2:12" x14ac:dyDescent="0.15">
      <c r="B35" s="40" t="s">
        <v>133</v>
      </c>
      <c r="C35" s="294">
        <f>+'P&amp;L Forecast'!D55</f>
        <v>-46713.27173913044</v>
      </c>
      <c r="D35" s="294">
        <f>+'P&amp;L Forecast'!F55+'Balance Sheet'!C35</f>
        <v>-326534.70858695655</v>
      </c>
      <c r="E35" s="294">
        <f>+'P&amp;L Forecast'!G55+'Balance Sheet'!D35</f>
        <v>-517446.36719705688</v>
      </c>
      <c r="F35" s="294">
        <f>+'P&amp;L Forecast'!H55+'Balance Sheet'!E35</f>
        <v>-443945.03534681903</v>
      </c>
      <c r="G35" s="294">
        <f>+'P&amp;L Forecast'!I55+'Balance Sheet'!F35</f>
        <v>-329554.64027381263</v>
      </c>
      <c r="H35" s="294">
        <f>+'P&amp;L Forecast'!J55+'Balance Sheet'!G35</f>
        <v>3362.2386589447851</v>
      </c>
      <c r="I35" s="294">
        <f>+'P&amp;L Forecast'!K55+'Balance Sheet'!H35</f>
        <v>319910.22726949083</v>
      </c>
      <c r="J35" s="294">
        <f>+'P&amp;L Forecast'!L55+'Balance Sheet'!I35</f>
        <v>587909.57348014112</v>
      </c>
      <c r="K35" s="294">
        <f>+'P&amp;L Forecast'!M55+'Balance Sheet'!J35</f>
        <v>871150.93620483961</v>
      </c>
      <c r="L35" s="56"/>
    </row>
    <row r="36" spans="2:12" x14ac:dyDescent="0.15">
      <c r="C36" s="294"/>
      <c r="D36" s="294"/>
      <c r="E36" s="294"/>
      <c r="F36" s="294"/>
      <c r="G36" s="294"/>
      <c r="H36" s="56"/>
      <c r="I36" s="56"/>
      <c r="J36" s="56"/>
      <c r="K36" s="56"/>
      <c r="L36" s="56"/>
    </row>
    <row r="37" spans="2:12" ht="14" x14ac:dyDescent="0.2">
      <c r="B37" s="133" t="s">
        <v>134</v>
      </c>
      <c r="C37" s="177">
        <f>SUM(C33:C35)</f>
        <v>3286.7282608695605</v>
      </c>
      <c r="D37" s="177">
        <f>SUM(D33:D35)</f>
        <v>423465.29141304345</v>
      </c>
      <c r="E37" s="177">
        <f>SUM(E33:E35)</f>
        <v>1482553.6328029432</v>
      </c>
      <c r="F37" s="177">
        <f t="shared" ref="F37:I37" si="7">SUM(F33:F35)</f>
        <v>1556054.9646531809</v>
      </c>
      <c r="G37" s="177">
        <f t="shared" si="7"/>
        <v>1670445.3597261873</v>
      </c>
      <c r="H37" s="177">
        <f t="shared" si="7"/>
        <v>2003362.2386589448</v>
      </c>
      <c r="I37" s="177">
        <f t="shared" si="7"/>
        <v>2319910.2272694907</v>
      </c>
      <c r="J37" s="177">
        <f t="shared" ref="J37:K37" si="8">SUM(J33:J35)</f>
        <v>2587909.5734801413</v>
      </c>
      <c r="K37" s="177">
        <f t="shared" si="8"/>
        <v>2871150.9362048395</v>
      </c>
    </row>
    <row r="38" spans="2:12" x14ac:dyDescent="0.15">
      <c r="C38" s="176"/>
      <c r="D38" s="176"/>
      <c r="E38" s="176"/>
      <c r="F38" s="176"/>
      <c r="G38" s="176"/>
    </row>
    <row r="39" spans="2:12" ht="15" thickBot="1" x14ac:dyDescent="0.25">
      <c r="B39" s="172" t="s">
        <v>135</v>
      </c>
      <c r="C39" s="4">
        <f>C30+C37</f>
        <v>39436.72826086956</v>
      </c>
      <c r="D39" s="4">
        <f t="shared" ref="D39:I39" si="9">D30+D37</f>
        <v>1488465.2914130434</v>
      </c>
      <c r="E39" s="4">
        <f>E30+E37</f>
        <v>4788491.1284859814</v>
      </c>
      <c r="F39" s="4">
        <f t="shared" si="9"/>
        <v>4551252.6185648385</v>
      </c>
      <c r="G39" s="4">
        <f t="shared" si="9"/>
        <v>4452519.9002028909</v>
      </c>
      <c r="H39" s="4">
        <f t="shared" si="9"/>
        <v>4558580.9700221298</v>
      </c>
      <c r="I39" s="4">
        <f t="shared" si="9"/>
        <v>4654022.0872152848</v>
      </c>
      <c r="J39" s="4">
        <f t="shared" ref="J39:K39" si="10">J30+J37</f>
        <v>4734837.7952663079</v>
      </c>
      <c r="K39" s="4">
        <f t="shared" si="10"/>
        <v>4773557.011610101</v>
      </c>
    </row>
    <row r="40" spans="2:12" ht="14" hidden="1" thickTop="1" x14ac:dyDescent="0.15"/>
    <row r="41" spans="2:12" ht="14" hidden="1" thickTop="1" x14ac:dyDescent="0.15"/>
    <row r="42" spans="2:12" ht="14" hidden="1" thickTop="1" x14ac:dyDescent="0.15">
      <c r="B42" s="146" t="s">
        <v>116</v>
      </c>
      <c r="C42" s="174">
        <f>C21-C39</f>
        <v>0</v>
      </c>
      <c r="D42" s="174">
        <f>D21-D39</f>
        <v>0</v>
      </c>
      <c r="E42" s="174">
        <f>E21-E39</f>
        <v>0</v>
      </c>
      <c r="F42" s="174">
        <f>F21-F39</f>
        <v>0</v>
      </c>
      <c r="G42" s="174">
        <f>G21-G39</f>
        <v>0</v>
      </c>
    </row>
    <row r="43" spans="2:12" ht="14" thickTop="1" x14ac:dyDescent="0.15"/>
    <row r="44" spans="2:12" x14ac:dyDescent="0.15">
      <c r="B44" s="1" t="s">
        <v>139</v>
      </c>
      <c r="C44" s="180"/>
      <c r="D44" s="180">
        <f>+IF('P&amp;L Forecast'!D55=0,"NA",+'P&amp;L Forecast'!D55/(('Balance Sheet'!C21+'Balance Sheet'!D21)/2))</f>
        <v>-6.1146946777516586E-2</v>
      </c>
      <c r="E44" s="180">
        <f>+IF('P&amp;L Forecast'!F55=0,"NA",+'P&amp;L Forecast'!F55/(('Balance Sheet'!D21+'Balance Sheet'!E21)/2))</f>
        <v>-8.9158317544070984E-2</v>
      </c>
      <c r="F44" s="180">
        <f>+IF('P&amp;L Forecast'!G55=0,"NA",+'P&amp;L Forecast'!G55/(('Balance Sheet'!E21+'Balance Sheet'!F21)/2))</f>
        <v>-4.0881562445518681E-2</v>
      </c>
      <c r="G44" s="180">
        <f>+IF('P&amp;L Forecast'!H55=0,"NA",+'P&amp;L Forecast'!H55/(('Balance Sheet'!F21+'Balance Sheet'!G21)/2))</f>
        <v>1.6326785621700129E-2</v>
      </c>
      <c r="H44" s="180">
        <f>+IF('P&amp;L Forecast'!I55=0,"NA",+'P&amp;L Forecast'!I55/(('Balance Sheet'!G21+'Balance Sheet'!H21)/2))</f>
        <v>2.538877251967769E-2</v>
      </c>
      <c r="I44" s="180">
        <f>+IF('P&amp;L Forecast'!J55=0,"NA",+'P&amp;L Forecast'!J55/(('Balance Sheet'!H21+'Balance Sheet'!I21)/2))</f>
        <v>7.2274226266856922E-2</v>
      </c>
      <c r="J44" s="180">
        <f>+IF('P&amp;L Forecast'!K55=0,"NA",+'P&amp;L Forecast'!K55/(('Balance Sheet'!I21+'Balance Sheet'!J21)/2))</f>
        <v>6.7430549091734543E-2</v>
      </c>
      <c r="K44" s="180">
        <f>+IF('P&amp;L Forecast'!L55=0,"NA",+'P&amp;L Forecast'!L55/(('Balance Sheet'!J21+'Balance Sheet'!K21)/2))</f>
        <v>5.6371101885006887E-2</v>
      </c>
    </row>
    <row r="45" spans="2:12" x14ac:dyDescent="0.15">
      <c r="B45" s="1" t="s">
        <v>140</v>
      </c>
      <c r="D45" s="297" t="str">
        <f>+IF('P&amp;L Forecast'!D55&lt;0,"NA",'P&amp;L Forecast'!D55/(('Balance Sheet'!C37+'Balance Sheet'!D37)/2))</f>
        <v>NA</v>
      </c>
      <c r="E45" s="297" t="str">
        <f>+IF('P&amp;L Forecast'!F55&lt;0,"NA",'P&amp;L Forecast'!F55/(('Balance Sheet'!D37+'Balance Sheet'!E37)/2))</f>
        <v>NA</v>
      </c>
      <c r="F45" s="297" t="str">
        <f>+IF('P&amp;L Forecast'!G55&lt;0,"NA",'P&amp;L Forecast'!G55/(('Balance Sheet'!E37+'Balance Sheet'!F37)/2))</f>
        <v>NA</v>
      </c>
      <c r="G45" s="297">
        <f>+IF('P&amp;L Forecast'!H55&lt;0,"NA",'P&amp;L Forecast'!H55/(('Balance Sheet'!F37+'Balance Sheet'!G37)/2))</f>
        <v>4.5561025545147689E-2</v>
      </c>
      <c r="H45" s="181">
        <f>+IF('P&amp;L Forecast'!I55&lt;0,"NA",'P&amp;L Forecast'!I55/(('Balance Sheet'!G37+'Balance Sheet'!H37)/2))</f>
        <v>6.2273481672414269E-2</v>
      </c>
      <c r="I45" s="181">
        <f>+IF('P&amp;L Forecast'!J55&lt;0,"NA",'P&amp;L Forecast'!J55/(('Balance Sheet'!H37+'Balance Sheet'!I37)/2))</f>
        <v>0.15401151861533785</v>
      </c>
      <c r="J45" s="181">
        <f>+IF('P&amp;L Forecast'!K55&lt;0,"NA",'P&amp;L Forecast'!K55/(('Balance Sheet'!I37+'Balance Sheet'!J37)/2))</f>
        <v>0.12899739658827564</v>
      </c>
      <c r="K45" s="181">
        <f>+IF('P&amp;L Forecast'!L55&lt;0,"NA",'P&amp;L Forecast'!L55/(('Balance Sheet'!J37+'Balance Sheet'!K37)/2))</f>
        <v>9.8185153190806201E-2</v>
      </c>
    </row>
    <row r="48" spans="2:12" x14ac:dyDescent="0.15">
      <c r="C48" s="195">
        <f>C21-C39</f>
        <v>0</v>
      </c>
      <c r="D48" s="195">
        <f t="shared" ref="D48:K48" si="11">D21-D39</f>
        <v>0</v>
      </c>
      <c r="E48" s="195">
        <f t="shared" si="11"/>
        <v>0</v>
      </c>
      <c r="F48" s="195">
        <f t="shared" si="11"/>
        <v>0</v>
      </c>
      <c r="G48" s="195">
        <f>G21-G39</f>
        <v>0</v>
      </c>
      <c r="H48" s="195">
        <f t="shared" si="11"/>
        <v>0</v>
      </c>
      <c r="I48" s="195">
        <f t="shared" si="11"/>
        <v>0</v>
      </c>
      <c r="J48" s="195">
        <f t="shared" si="11"/>
        <v>0</v>
      </c>
      <c r="K48" s="195">
        <f t="shared" si="11"/>
        <v>0</v>
      </c>
    </row>
    <row r="53" spans="3:11" x14ac:dyDescent="0.15">
      <c r="C53" s="195"/>
      <c r="D53" s="195"/>
      <c r="E53" s="195"/>
      <c r="F53" s="195"/>
      <c r="G53" s="195"/>
      <c r="H53" s="195"/>
      <c r="I53" s="195"/>
      <c r="J53" s="195"/>
      <c r="K53" s="195"/>
    </row>
  </sheetData>
  <mergeCells count="1">
    <mergeCell ref="C9:K9"/>
  </mergeCells>
  <phoneticPr fontId="5" type="noConversion"/>
  <pageMargins left="0.75" right="0.75" top="1" bottom="1" header="0.3" footer="0.3"/>
  <pageSetup paperSize="9" scale="67" orientation="portrait" horizontalDpi="4294967292" verticalDpi="4294967292" copies="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15"/>
    <pageSetUpPr fitToPage="1"/>
  </sheetPr>
  <dimension ref="C9:AP94"/>
  <sheetViews>
    <sheetView showGridLines="0" topLeftCell="A10" workbookViewId="0">
      <pane xSplit="5" ySplit="1" topLeftCell="AD22" activePane="bottomRight" state="frozen"/>
      <selection activeCell="A10" sqref="A10"/>
      <selection pane="topRight" activeCell="F10" sqref="F10"/>
      <selection pane="bottomLeft" activeCell="A11" sqref="A11"/>
      <selection pane="bottomRight" activeCell="AM38" sqref="AM38:AM46"/>
    </sheetView>
  </sheetViews>
  <sheetFormatPr baseColWidth="10" defaultColWidth="8.83203125" defaultRowHeight="13" outlineLevelCol="1" x14ac:dyDescent="0.15"/>
  <cols>
    <col min="1" max="1" width="1.83203125" customWidth="1"/>
    <col min="2" max="2" width="2.33203125" customWidth="1"/>
    <col min="3" max="3" width="44.83203125" bestFit="1" customWidth="1"/>
    <col min="4" max="4" width="1.33203125" customWidth="1"/>
    <col min="5" max="5" width="5.6640625" style="10" customWidth="1" outlineLevel="1"/>
    <col min="6" max="6" width="3" style="10" customWidth="1" outlineLevel="1"/>
    <col min="7" max="7" width="11.33203125" bestFit="1" customWidth="1" outlineLevel="1"/>
    <col min="8" max="8" width="12" customWidth="1" outlineLevel="1"/>
    <col min="9" max="9" width="12.33203125" bestFit="1" customWidth="1" outlineLevel="1"/>
    <col min="10" max="11" width="11.83203125" bestFit="1" customWidth="1" outlineLevel="1"/>
    <col min="12" max="17" width="11.33203125" customWidth="1" outlineLevel="1"/>
    <col min="18" max="18" width="3.33203125" customWidth="1"/>
    <col min="19" max="19" width="2.6640625" customWidth="1"/>
    <col min="20" max="20" width="11.1640625" bestFit="1" customWidth="1"/>
    <col min="21" max="21" width="10" bestFit="1" customWidth="1"/>
    <col min="22" max="24" width="11.1640625" bestFit="1" customWidth="1"/>
    <col min="25" max="30" width="11.1640625" customWidth="1"/>
    <col min="31" max="31" width="5" customWidth="1"/>
    <col min="32" max="32" width="11.1640625" bestFit="1" customWidth="1"/>
    <col min="33" max="33" width="12.83203125" customWidth="1"/>
    <col min="34" max="34" width="13.1640625" customWidth="1"/>
    <col min="35" max="35" width="12.5" customWidth="1"/>
    <col min="36" max="36" width="13.33203125" customWidth="1"/>
    <col min="37" max="42" width="14" customWidth="1"/>
  </cols>
  <sheetData>
    <row r="9" spans="3:42" ht="16" x14ac:dyDescent="0.2">
      <c r="C9" s="18" t="s">
        <v>40</v>
      </c>
    </row>
    <row r="10" spans="3:42" x14ac:dyDescent="0.15">
      <c r="G10" s="8"/>
    </row>
    <row r="11" spans="3:42" ht="16" x14ac:dyDescent="0.2">
      <c r="D11" s="18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13"/>
      <c r="T11" s="434" t="s">
        <v>38</v>
      </c>
      <c r="U11" s="434"/>
      <c r="V11" s="434"/>
      <c r="AF11" s="434" t="s">
        <v>39</v>
      </c>
      <c r="AG11" s="434"/>
      <c r="AH11" s="434"/>
      <c r="AI11" s="100"/>
    </row>
    <row r="13" spans="3:42" ht="14" thickBot="1" x14ac:dyDescent="0.2">
      <c r="C13" s="99" t="s">
        <v>21</v>
      </c>
      <c r="E13" s="44" t="s">
        <v>20</v>
      </c>
      <c r="G13" s="44">
        <v>2018</v>
      </c>
      <c r="H13" s="44">
        <v>2019</v>
      </c>
      <c r="I13" s="44">
        <v>2020</v>
      </c>
      <c r="J13" s="44">
        <v>2021</v>
      </c>
      <c r="K13" s="44">
        <v>2022</v>
      </c>
      <c r="L13" s="44">
        <v>2023</v>
      </c>
      <c r="M13" s="44">
        <v>2024</v>
      </c>
      <c r="N13" s="44">
        <v>2025</v>
      </c>
      <c r="O13" s="44">
        <v>2026</v>
      </c>
      <c r="P13" s="44">
        <v>2027</v>
      </c>
      <c r="Q13" s="44">
        <v>2028</v>
      </c>
      <c r="R13" s="43"/>
      <c r="T13" s="96">
        <f t="shared" ref="T13:AD13" si="0">G13</f>
        <v>2018</v>
      </c>
      <c r="U13" s="96">
        <f t="shared" si="0"/>
        <v>2019</v>
      </c>
      <c r="V13" s="96">
        <f t="shared" si="0"/>
        <v>2020</v>
      </c>
      <c r="W13" s="96">
        <f t="shared" si="0"/>
        <v>2021</v>
      </c>
      <c r="X13" s="96">
        <f t="shared" si="0"/>
        <v>2022</v>
      </c>
      <c r="Y13" s="96">
        <f t="shared" si="0"/>
        <v>2023</v>
      </c>
      <c r="Z13" s="96">
        <f t="shared" si="0"/>
        <v>2024</v>
      </c>
      <c r="AA13" s="96">
        <f t="shared" si="0"/>
        <v>2025</v>
      </c>
      <c r="AB13" s="96">
        <f t="shared" si="0"/>
        <v>2026</v>
      </c>
      <c r="AC13" s="96">
        <f t="shared" si="0"/>
        <v>2027</v>
      </c>
      <c r="AD13" s="96">
        <f t="shared" si="0"/>
        <v>2028</v>
      </c>
      <c r="AF13" s="96">
        <f t="shared" ref="AF13:AP13" si="1">+T13</f>
        <v>2018</v>
      </c>
      <c r="AG13" s="96">
        <f t="shared" si="1"/>
        <v>2019</v>
      </c>
      <c r="AH13" s="96">
        <f t="shared" si="1"/>
        <v>2020</v>
      </c>
      <c r="AI13" s="96">
        <f t="shared" si="1"/>
        <v>2021</v>
      </c>
      <c r="AJ13" s="96">
        <f t="shared" si="1"/>
        <v>2022</v>
      </c>
      <c r="AK13" s="96">
        <f t="shared" si="1"/>
        <v>2023</v>
      </c>
      <c r="AL13" s="96">
        <f t="shared" si="1"/>
        <v>2024</v>
      </c>
      <c r="AM13" s="96">
        <f t="shared" si="1"/>
        <v>2025</v>
      </c>
      <c r="AN13" s="96">
        <f t="shared" si="1"/>
        <v>2026</v>
      </c>
      <c r="AO13" s="96">
        <f t="shared" si="1"/>
        <v>2027</v>
      </c>
      <c r="AP13" s="96">
        <f t="shared" si="1"/>
        <v>2028</v>
      </c>
    </row>
    <row r="14" spans="3:42" ht="14" thickTop="1" x14ac:dyDescent="0.15"/>
    <row r="15" spans="3:42" x14ac:dyDescent="0.15">
      <c r="C15" s="51" t="s">
        <v>270</v>
      </c>
      <c r="D15" s="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3:42" x14ac:dyDescent="0.15">
      <c r="C16" s="141" t="s">
        <v>274</v>
      </c>
      <c r="D16" s="40"/>
      <c r="E16" s="392"/>
      <c r="G16" s="239"/>
      <c r="H16" s="393">
        <v>25000</v>
      </c>
      <c r="I16" s="183"/>
      <c r="J16" s="183"/>
      <c r="K16" s="183"/>
      <c r="L16" s="183"/>
      <c r="M16" s="183"/>
      <c r="N16" s="183"/>
      <c r="O16" s="183"/>
      <c r="P16" s="183"/>
      <c r="Q16" s="18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F16" s="8">
        <f t="shared" ref="AF16:AF25" si="2">+G16-T16</f>
        <v>0</v>
      </c>
      <c r="AG16" s="8">
        <f t="shared" ref="AG16:AG25" si="3">AF16+H16-U16</f>
        <v>25000</v>
      </c>
      <c r="AH16" s="8">
        <f t="shared" ref="AH16:AH25" si="4">AG16+I16-V16</f>
        <v>25000</v>
      </c>
      <c r="AI16" s="8">
        <f t="shared" ref="AI16:AI25" si="5">AH16+J16-W16</f>
        <v>25000</v>
      </c>
      <c r="AJ16" s="8">
        <f t="shared" ref="AJ16:AJ25" si="6">AI16+K16-X16</f>
        <v>25000</v>
      </c>
      <c r="AK16" s="8">
        <f t="shared" ref="AK16:AK24" si="7">AJ16+L16-Y16</f>
        <v>25000</v>
      </c>
      <c r="AL16" s="8">
        <f t="shared" ref="AL16:AL24" si="8">AK16+M16-Z16</f>
        <v>25000</v>
      </c>
      <c r="AM16" s="8">
        <f t="shared" ref="AM16:AM24" si="9">AL16+N16-AA16</f>
        <v>25000</v>
      </c>
      <c r="AN16" s="8">
        <f t="shared" ref="AN16:AN24" si="10">AM16+O16-AB16</f>
        <v>25000</v>
      </c>
      <c r="AO16" s="8">
        <f t="shared" ref="AO16:AO24" si="11">AN16+P16-AC16</f>
        <v>25000</v>
      </c>
      <c r="AP16" s="8">
        <f t="shared" ref="AP16:AP24" si="12">AO16+Q16-AD16</f>
        <v>25000</v>
      </c>
    </row>
    <row r="17" spans="3:42" x14ac:dyDescent="0.15">
      <c r="C17" s="141" t="s">
        <v>275</v>
      </c>
      <c r="D17" s="40"/>
      <c r="E17" s="392"/>
      <c r="G17" s="240"/>
      <c r="H17" s="393">
        <v>20000</v>
      </c>
      <c r="I17" s="183"/>
      <c r="J17" s="183"/>
      <c r="K17" s="183"/>
      <c r="L17" s="183"/>
      <c r="M17" s="183"/>
      <c r="N17" s="183"/>
      <c r="O17" s="183"/>
      <c r="P17" s="183"/>
      <c r="Q17" s="18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F17" s="8">
        <f t="shared" si="2"/>
        <v>0</v>
      </c>
      <c r="AG17" s="8">
        <f t="shared" si="3"/>
        <v>20000</v>
      </c>
      <c r="AH17" s="8">
        <f t="shared" si="4"/>
        <v>20000</v>
      </c>
      <c r="AI17" s="8">
        <f t="shared" si="5"/>
        <v>20000</v>
      </c>
      <c r="AJ17" s="8">
        <f t="shared" si="6"/>
        <v>20000</v>
      </c>
      <c r="AK17" s="8">
        <f t="shared" si="7"/>
        <v>20000</v>
      </c>
      <c r="AL17" s="8">
        <f t="shared" si="8"/>
        <v>20000</v>
      </c>
      <c r="AM17" s="8">
        <f t="shared" si="9"/>
        <v>20000</v>
      </c>
      <c r="AN17" s="8">
        <f t="shared" si="10"/>
        <v>20000</v>
      </c>
      <c r="AO17" s="8">
        <f t="shared" si="11"/>
        <v>20000</v>
      </c>
      <c r="AP17" s="8">
        <f t="shared" si="12"/>
        <v>20000</v>
      </c>
    </row>
    <row r="18" spans="3:42" x14ac:dyDescent="0.15">
      <c r="C18" s="141" t="s">
        <v>329</v>
      </c>
      <c r="D18" s="40"/>
      <c r="E18" s="392"/>
      <c r="G18" s="240"/>
      <c r="H18" s="393">
        <v>20000</v>
      </c>
      <c r="I18" s="222"/>
      <c r="J18" s="183"/>
      <c r="K18" s="183"/>
      <c r="L18" s="183"/>
      <c r="M18" s="183"/>
      <c r="N18" s="183"/>
      <c r="O18" s="183"/>
      <c r="P18" s="183"/>
      <c r="Q18" s="18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F18" s="8">
        <f t="shared" si="2"/>
        <v>0</v>
      </c>
      <c r="AG18" s="8">
        <f t="shared" si="3"/>
        <v>20000</v>
      </c>
      <c r="AH18" s="8">
        <f t="shared" si="4"/>
        <v>20000</v>
      </c>
      <c r="AI18" s="8">
        <f t="shared" si="5"/>
        <v>20000</v>
      </c>
      <c r="AJ18" s="8">
        <f t="shared" si="6"/>
        <v>20000</v>
      </c>
      <c r="AK18" s="8">
        <f t="shared" si="7"/>
        <v>20000</v>
      </c>
      <c r="AL18" s="8">
        <f t="shared" si="8"/>
        <v>20000</v>
      </c>
      <c r="AM18" s="8">
        <f t="shared" si="9"/>
        <v>20000</v>
      </c>
      <c r="AN18" s="8">
        <f t="shared" si="10"/>
        <v>20000</v>
      </c>
      <c r="AO18" s="8">
        <f t="shared" si="11"/>
        <v>20000</v>
      </c>
      <c r="AP18" s="8">
        <f t="shared" si="12"/>
        <v>20000</v>
      </c>
    </row>
    <row r="19" spans="3:42" x14ac:dyDescent="0.15">
      <c r="C19" s="141" t="s">
        <v>330</v>
      </c>
      <c r="D19" s="40"/>
      <c r="E19" s="392"/>
      <c r="G19" s="240"/>
      <c r="H19" s="393">
        <v>15000</v>
      </c>
      <c r="I19" s="183"/>
      <c r="J19" s="183"/>
      <c r="K19" s="183"/>
      <c r="L19" s="183"/>
      <c r="M19" s="183"/>
      <c r="N19" s="183"/>
      <c r="O19" s="183"/>
      <c r="P19" s="183"/>
      <c r="Q19" s="18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F19" s="8">
        <f t="shared" si="2"/>
        <v>0</v>
      </c>
      <c r="AG19" s="8">
        <f>AF19+H19-U19</f>
        <v>15000</v>
      </c>
      <c r="AH19" s="8">
        <f t="shared" si="4"/>
        <v>15000</v>
      </c>
      <c r="AI19" s="8">
        <f t="shared" si="5"/>
        <v>15000</v>
      </c>
      <c r="AJ19" s="8">
        <f t="shared" si="6"/>
        <v>15000</v>
      </c>
      <c r="AK19" s="8">
        <f t="shared" si="7"/>
        <v>15000</v>
      </c>
      <c r="AL19" s="8">
        <f t="shared" si="8"/>
        <v>15000</v>
      </c>
      <c r="AM19" s="8">
        <f t="shared" si="9"/>
        <v>15000</v>
      </c>
      <c r="AN19" s="8">
        <f t="shared" si="10"/>
        <v>15000</v>
      </c>
      <c r="AO19" s="8">
        <f t="shared" si="11"/>
        <v>15000</v>
      </c>
      <c r="AP19" s="8">
        <f t="shared" si="12"/>
        <v>15000</v>
      </c>
    </row>
    <row r="20" spans="3:42" x14ac:dyDescent="0.15">
      <c r="C20" s="129" t="s">
        <v>283</v>
      </c>
      <c r="D20" s="40"/>
      <c r="E20" s="10">
        <v>15</v>
      </c>
      <c r="G20" s="241"/>
      <c r="H20" s="241">
        <v>15000</v>
      </c>
      <c r="I20" s="241">
        <v>15000</v>
      </c>
      <c r="J20" s="241">
        <v>15000</v>
      </c>
      <c r="K20" s="241">
        <v>15000</v>
      </c>
      <c r="L20" s="2">
        <v>5000</v>
      </c>
      <c r="M20" s="2">
        <v>2500</v>
      </c>
      <c r="N20" s="2">
        <v>2500</v>
      </c>
      <c r="O20" s="2">
        <v>2500</v>
      </c>
      <c r="P20" s="2">
        <v>2500</v>
      </c>
      <c r="Q20" s="2">
        <v>2500</v>
      </c>
      <c r="T20" s="6">
        <f>SUM($G20:G20)/$E20</f>
        <v>0</v>
      </c>
      <c r="U20" s="6">
        <f>SUM($G20:H20)/$E20</f>
        <v>1000</v>
      </c>
      <c r="V20" s="224">
        <f>SUM($G20:I20)/$E20</f>
        <v>2000</v>
      </c>
      <c r="W20" s="224">
        <f>SUM($G20:J20)/$E20</f>
        <v>3000</v>
      </c>
      <c r="X20" s="224">
        <f>SUM($G20:K20)/$E20</f>
        <v>4000</v>
      </c>
      <c r="Y20" s="224">
        <f>SUM($G20:L20)/$E20</f>
        <v>4333.333333333333</v>
      </c>
      <c r="Z20" s="6">
        <f>SUM($G20:M20)/$E20</f>
        <v>4500</v>
      </c>
      <c r="AA20" s="6">
        <f>SUM($G20:N20)/$E20</f>
        <v>4666.666666666667</v>
      </c>
      <c r="AB20" s="6">
        <f>SUM($G20:O20)/$E20</f>
        <v>4833.333333333333</v>
      </c>
      <c r="AC20" s="6">
        <f>SUM($G20:P20)/$E20</f>
        <v>5000</v>
      </c>
      <c r="AD20" s="6">
        <f>SUM($G20:Q20)/$E20</f>
        <v>5166.666666666667</v>
      </c>
      <c r="AF20" s="8">
        <f t="shared" si="2"/>
        <v>0</v>
      </c>
      <c r="AG20" s="8">
        <f>AF20+H20-U20</f>
        <v>14000</v>
      </c>
      <c r="AH20" s="8">
        <f t="shared" si="4"/>
        <v>27000</v>
      </c>
      <c r="AI20" s="8">
        <f t="shared" si="5"/>
        <v>39000</v>
      </c>
      <c r="AJ20" s="8">
        <f t="shared" si="6"/>
        <v>50000</v>
      </c>
      <c r="AK20" s="8">
        <f t="shared" si="7"/>
        <v>50666.666666666664</v>
      </c>
      <c r="AL20" s="8">
        <f t="shared" si="8"/>
        <v>48666.666666666664</v>
      </c>
      <c r="AM20" s="8">
        <f t="shared" si="9"/>
        <v>46500</v>
      </c>
      <c r="AN20" s="8">
        <f t="shared" si="10"/>
        <v>44166.666666666664</v>
      </c>
      <c r="AO20" s="8">
        <f t="shared" si="11"/>
        <v>41666.666666666664</v>
      </c>
      <c r="AP20" s="8">
        <f t="shared" si="12"/>
        <v>39000</v>
      </c>
    </row>
    <row r="21" spans="3:42" x14ac:dyDescent="0.15">
      <c r="C21" s="127" t="s">
        <v>284</v>
      </c>
      <c r="D21" s="40"/>
      <c r="E21" s="10">
        <v>15</v>
      </c>
      <c r="G21" s="25"/>
      <c r="H21" s="241">
        <v>5000</v>
      </c>
      <c r="I21" s="241">
        <v>10000</v>
      </c>
      <c r="J21" s="2">
        <v>5000</v>
      </c>
      <c r="K21" s="2">
        <v>5000</v>
      </c>
      <c r="L21" s="2">
        <v>10000</v>
      </c>
      <c r="M21" s="2">
        <v>2500</v>
      </c>
      <c r="N21" s="2">
        <v>2500</v>
      </c>
      <c r="O21" s="2">
        <v>2500</v>
      </c>
      <c r="P21" s="2">
        <v>2500</v>
      </c>
      <c r="Q21" s="2">
        <v>2500</v>
      </c>
      <c r="T21" s="6">
        <f>SUM($G21:G21)/$E21</f>
        <v>0</v>
      </c>
      <c r="U21" s="6">
        <f>SUM($G21:H21)/$E21</f>
        <v>333.33333333333331</v>
      </c>
      <c r="V21" s="6">
        <f>SUM($G21:I21)/$E21</f>
        <v>1000</v>
      </c>
      <c r="W21" s="6">
        <f>SUM($G21:J21)/$E21</f>
        <v>1333.3333333333333</v>
      </c>
      <c r="X21" s="6">
        <f>SUM($G21:K21)/$E21</f>
        <v>1666.6666666666667</v>
      </c>
      <c r="Y21" s="6">
        <f>SUM($G21:L21)/$E21</f>
        <v>2333.3333333333335</v>
      </c>
      <c r="Z21" s="6">
        <f>SUM($G21:M21)/$E21</f>
        <v>2500</v>
      </c>
      <c r="AA21" s="6">
        <f>SUM($G21:N21)/$E21</f>
        <v>2666.6666666666665</v>
      </c>
      <c r="AB21" s="6">
        <f>SUM($G21:O21)/$E21</f>
        <v>2833.3333333333335</v>
      </c>
      <c r="AC21" s="6">
        <f>SUM($G21:P21)/$E21</f>
        <v>3000</v>
      </c>
      <c r="AD21" s="6">
        <f>SUM($G21:Q21)/$E21</f>
        <v>3166.6666666666665</v>
      </c>
      <c r="AF21" s="8">
        <f t="shared" si="2"/>
        <v>0</v>
      </c>
      <c r="AG21" s="8">
        <f t="shared" si="3"/>
        <v>4666.666666666667</v>
      </c>
      <c r="AH21" s="8">
        <f t="shared" si="4"/>
        <v>13666.666666666668</v>
      </c>
      <c r="AI21" s="8">
        <f t="shared" si="5"/>
        <v>17333.333333333336</v>
      </c>
      <c r="AJ21" s="8">
        <f t="shared" si="6"/>
        <v>20666.666666666668</v>
      </c>
      <c r="AK21" s="8">
        <f t="shared" si="7"/>
        <v>28333.333333333336</v>
      </c>
      <c r="AL21" s="8">
        <f t="shared" si="8"/>
        <v>28333.333333333336</v>
      </c>
      <c r="AM21" s="8">
        <f t="shared" si="9"/>
        <v>28166.666666666668</v>
      </c>
      <c r="AN21" s="8">
        <f t="shared" si="10"/>
        <v>27833.333333333336</v>
      </c>
      <c r="AO21" s="8">
        <f t="shared" si="11"/>
        <v>27333.333333333336</v>
      </c>
      <c r="AP21" s="8">
        <f t="shared" si="12"/>
        <v>26666.666666666668</v>
      </c>
    </row>
    <row r="22" spans="3:42" x14ac:dyDescent="0.15">
      <c r="C22" s="85"/>
      <c r="D22" s="40"/>
      <c r="E22" s="10">
        <v>15</v>
      </c>
      <c r="G22" s="25"/>
      <c r="H22" s="241"/>
      <c r="I22" s="2"/>
      <c r="J22" s="2"/>
      <c r="K22" s="2"/>
      <c r="L22" s="2"/>
      <c r="M22" s="2"/>
      <c r="N22" s="2"/>
      <c r="O22" s="2"/>
      <c r="P22" s="2"/>
      <c r="Q22" s="2"/>
      <c r="T22" s="6">
        <f>SUM($G22:G22)/$E22</f>
        <v>0</v>
      </c>
      <c r="U22" s="6">
        <f>SUM($G22:H22)/$E22</f>
        <v>0</v>
      </c>
      <c r="V22" s="6">
        <f>SUM($G22:I22)/$E22</f>
        <v>0</v>
      </c>
      <c r="W22" s="6">
        <f>SUM($G22:J22)/$E22</f>
        <v>0</v>
      </c>
      <c r="X22" s="6">
        <f>SUM($G22:K22)/$E22</f>
        <v>0</v>
      </c>
      <c r="Y22" s="6">
        <f>SUM($G22:L22)/$E22</f>
        <v>0</v>
      </c>
      <c r="Z22" s="6">
        <f>SUM($G22:M22)/$E22</f>
        <v>0</v>
      </c>
      <c r="AA22" s="6">
        <f>SUM($G22:N22)/$E22</f>
        <v>0</v>
      </c>
      <c r="AB22" s="6">
        <f>SUM($G22:O22)/$E22</f>
        <v>0</v>
      </c>
      <c r="AC22" s="6">
        <f>SUM($G22:P22)/$E22</f>
        <v>0</v>
      </c>
      <c r="AD22" s="6">
        <f>SUM($G22:Q22)/$E22</f>
        <v>0</v>
      </c>
      <c r="AF22" s="8">
        <f t="shared" si="2"/>
        <v>0</v>
      </c>
      <c r="AG22" s="8">
        <f t="shared" si="3"/>
        <v>0</v>
      </c>
      <c r="AH22" s="8">
        <f t="shared" si="4"/>
        <v>0</v>
      </c>
      <c r="AI22" s="8">
        <f t="shared" si="5"/>
        <v>0</v>
      </c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</row>
    <row r="23" spans="3:42" x14ac:dyDescent="0.15">
      <c r="C23" s="127" t="s">
        <v>276</v>
      </c>
      <c r="D23" s="40"/>
      <c r="E23" s="10">
        <v>5</v>
      </c>
      <c r="G23" s="25"/>
      <c r="H23" s="241">
        <v>7500</v>
      </c>
      <c r="I23" s="241">
        <v>7500</v>
      </c>
      <c r="J23" s="241">
        <v>7500</v>
      </c>
      <c r="K23" s="241">
        <v>7500</v>
      </c>
      <c r="L23" s="2">
        <v>5000</v>
      </c>
      <c r="M23" s="2">
        <v>2500</v>
      </c>
      <c r="N23" s="2">
        <v>2500</v>
      </c>
      <c r="O23" s="2">
        <v>2500</v>
      </c>
      <c r="P23" s="2">
        <v>2500</v>
      </c>
      <c r="Q23" s="2">
        <v>2500</v>
      </c>
      <c r="T23" s="6">
        <f>SUM($G23:G23)/$E23</f>
        <v>0</v>
      </c>
      <c r="U23" s="6">
        <f>SUM($G23:H23)/$E23</f>
        <v>1500</v>
      </c>
      <c r="V23" s="6">
        <f>SUM($G23:I23)/$E23</f>
        <v>3000</v>
      </c>
      <c r="W23" s="6">
        <f>SUM($G23:J23)/$E23</f>
        <v>4500</v>
      </c>
      <c r="X23" s="6">
        <f>SUM($G23:K23)/$E23</f>
        <v>6000</v>
      </c>
      <c r="Y23" s="6">
        <f t="shared" ref="Y23:AD23" si="13">SUM(H23:L23)/$E23</f>
        <v>7000</v>
      </c>
      <c r="Z23" s="6">
        <f t="shared" si="13"/>
        <v>6000</v>
      </c>
      <c r="AA23" s="6">
        <f t="shared" si="13"/>
        <v>5000</v>
      </c>
      <c r="AB23" s="6">
        <f t="shared" si="13"/>
        <v>4000</v>
      </c>
      <c r="AC23" s="6">
        <f t="shared" si="13"/>
        <v>3000</v>
      </c>
      <c r="AD23" s="6">
        <f t="shared" si="13"/>
        <v>2500</v>
      </c>
      <c r="AF23" s="8">
        <f t="shared" si="2"/>
        <v>0</v>
      </c>
      <c r="AG23" s="8">
        <f t="shared" si="3"/>
        <v>6000</v>
      </c>
      <c r="AH23" s="8">
        <f t="shared" si="4"/>
        <v>10500</v>
      </c>
      <c r="AI23" s="8">
        <f t="shared" si="5"/>
        <v>13500</v>
      </c>
      <c r="AJ23" s="8">
        <f t="shared" si="6"/>
        <v>15000</v>
      </c>
      <c r="AK23" s="8">
        <f t="shared" si="7"/>
        <v>13000</v>
      </c>
      <c r="AL23" s="8">
        <f t="shared" si="8"/>
        <v>9500</v>
      </c>
      <c r="AM23" s="8">
        <f t="shared" si="9"/>
        <v>7000</v>
      </c>
      <c r="AN23" s="8">
        <f t="shared" si="10"/>
        <v>5500</v>
      </c>
      <c r="AO23" s="8">
        <f t="shared" si="11"/>
        <v>5000</v>
      </c>
      <c r="AP23" s="8">
        <f t="shared" si="12"/>
        <v>5000</v>
      </c>
    </row>
    <row r="24" spans="3:42" x14ac:dyDescent="0.15">
      <c r="C24" s="127" t="s">
        <v>277</v>
      </c>
      <c r="D24" s="40"/>
      <c r="E24" s="10">
        <v>15</v>
      </c>
      <c r="G24" s="25"/>
      <c r="H24" s="241">
        <v>5000</v>
      </c>
      <c r="I24" s="241">
        <v>5000</v>
      </c>
      <c r="J24" s="241">
        <v>5000</v>
      </c>
      <c r="K24" s="241">
        <v>5000</v>
      </c>
      <c r="L24" s="241">
        <v>2500</v>
      </c>
      <c r="M24" s="241">
        <v>2500</v>
      </c>
      <c r="N24" s="241">
        <v>2500</v>
      </c>
      <c r="O24" s="241">
        <v>2500</v>
      </c>
      <c r="P24" s="241">
        <v>2500</v>
      </c>
      <c r="Q24" s="241">
        <v>2500</v>
      </c>
      <c r="T24" s="6">
        <f>SUM($G24:G24)/$E24</f>
        <v>0</v>
      </c>
      <c r="U24" s="6">
        <f>SUM($G24:H24)/$E24</f>
        <v>333.33333333333331</v>
      </c>
      <c r="V24" s="6">
        <f>SUM($G24:I24)/$E24</f>
        <v>666.66666666666663</v>
      </c>
      <c r="W24" s="6">
        <f>SUM($G24:J24)/$E24</f>
        <v>1000</v>
      </c>
      <c r="X24" s="6">
        <f>SUM($G24:K24)/$E24</f>
        <v>1333.3333333333333</v>
      </c>
      <c r="Y24" s="6">
        <f>SUM($G24:L24)/$E24</f>
        <v>1500</v>
      </c>
      <c r="Z24" s="6">
        <f>SUM($G24:M24)/$E24</f>
        <v>1666.6666666666667</v>
      </c>
      <c r="AA24" s="6">
        <f>SUM($G24:N24)/$E24</f>
        <v>1833.3333333333333</v>
      </c>
      <c r="AB24" s="6">
        <f>SUM($G24:O24)/$E24</f>
        <v>2000</v>
      </c>
      <c r="AC24" s="6">
        <f>SUM($G24:P24)/$E24</f>
        <v>2166.6666666666665</v>
      </c>
      <c r="AD24" s="6">
        <f>SUM($G24:Q24)/$E24</f>
        <v>2333.3333333333335</v>
      </c>
      <c r="AF24" s="8">
        <f t="shared" si="2"/>
        <v>0</v>
      </c>
      <c r="AG24" s="8">
        <f t="shared" si="3"/>
        <v>4666.666666666667</v>
      </c>
      <c r="AH24" s="8">
        <f t="shared" si="4"/>
        <v>9000.0000000000018</v>
      </c>
      <c r="AI24" s="8">
        <f t="shared" si="5"/>
        <v>13000.000000000002</v>
      </c>
      <c r="AJ24" s="8">
        <f t="shared" si="6"/>
        <v>16666.666666666668</v>
      </c>
      <c r="AK24" s="8">
        <f t="shared" si="7"/>
        <v>17666.666666666668</v>
      </c>
      <c r="AL24" s="8">
        <f t="shared" si="8"/>
        <v>18500</v>
      </c>
      <c r="AM24" s="8">
        <f t="shared" si="9"/>
        <v>19166.666666666668</v>
      </c>
      <c r="AN24" s="8">
        <f t="shared" si="10"/>
        <v>19666.666666666668</v>
      </c>
      <c r="AO24" s="8">
        <f t="shared" si="11"/>
        <v>20000</v>
      </c>
      <c r="AP24" s="8">
        <f t="shared" si="12"/>
        <v>20166.666666666668</v>
      </c>
    </row>
    <row r="25" spans="3:42" x14ac:dyDescent="0.15">
      <c r="C25" s="40"/>
      <c r="D25" s="40"/>
      <c r="G25" s="241"/>
      <c r="H25" s="241"/>
      <c r="I25" s="2"/>
      <c r="J25" s="2"/>
      <c r="K25" s="2"/>
      <c r="L25" s="2"/>
      <c r="M25" s="2"/>
      <c r="N25" s="2"/>
      <c r="O25" s="2"/>
      <c r="P25" s="2"/>
      <c r="Q25" s="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F25" s="8">
        <f t="shared" si="2"/>
        <v>0</v>
      </c>
      <c r="AG25" s="8">
        <f t="shared" si="3"/>
        <v>0</v>
      </c>
      <c r="AH25" s="8">
        <f t="shared" si="4"/>
        <v>0</v>
      </c>
      <c r="AI25" s="8">
        <f t="shared" si="5"/>
        <v>0</v>
      </c>
      <c r="AJ25" s="8">
        <f t="shared" si="6"/>
        <v>0</v>
      </c>
      <c r="AK25" s="8">
        <f>AJ25+L25-Y25</f>
        <v>0</v>
      </c>
      <c r="AL25" s="8"/>
      <c r="AM25" s="8"/>
      <c r="AN25" s="8"/>
      <c r="AO25" s="8"/>
      <c r="AP25" s="8"/>
    </row>
    <row r="26" spans="3:42" ht="14" thickBot="1" x14ac:dyDescent="0.2">
      <c r="C26" s="1"/>
      <c r="D26" s="1"/>
      <c r="G26" s="212">
        <f>SUM(G16:G21)</f>
        <v>0</v>
      </c>
      <c r="H26" s="212">
        <f>SUM(H16:H24)</f>
        <v>112500</v>
      </c>
      <c r="I26" s="212">
        <f>SUM(I16:I24)</f>
        <v>37500</v>
      </c>
      <c r="J26" s="212">
        <f t="shared" ref="J26:O26" si="14">SUM(J16:J24)</f>
        <v>32500</v>
      </c>
      <c r="K26" s="212">
        <f>SUM(K16:K24)</f>
        <v>32500</v>
      </c>
      <c r="L26" s="212">
        <f t="shared" si="14"/>
        <v>22500</v>
      </c>
      <c r="M26" s="212">
        <f t="shared" si="14"/>
        <v>10000</v>
      </c>
      <c r="N26" s="212">
        <f t="shared" si="14"/>
        <v>10000</v>
      </c>
      <c r="O26" s="212">
        <f t="shared" si="14"/>
        <v>10000</v>
      </c>
      <c r="P26" s="212">
        <f t="shared" ref="P26:Q26" si="15">SUM(P16:P24)</f>
        <v>10000</v>
      </c>
      <c r="Q26" s="212">
        <f t="shared" si="15"/>
        <v>10000</v>
      </c>
      <c r="R26" s="38"/>
      <c r="T26" s="97">
        <f t="shared" ref="T26:Y26" si="16">SUM(T14:T25)</f>
        <v>0</v>
      </c>
      <c r="U26" s="97">
        <f>SUM(U14:U25)</f>
        <v>3166.6666666666665</v>
      </c>
      <c r="V26" s="97">
        <f>SUM(V14:V25)</f>
        <v>6666.666666666667</v>
      </c>
      <c r="W26" s="97">
        <f>SUM(W14:W25)</f>
        <v>9833.3333333333321</v>
      </c>
      <c r="X26" s="97">
        <f>SUM(X14:X25)</f>
        <v>13000.000000000002</v>
      </c>
      <c r="Y26" s="97">
        <f t="shared" si="16"/>
        <v>15166.666666666666</v>
      </c>
      <c r="Z26" s="97">
        <f t="shared" ref="Z26:AA26" si="17">SUM(Z14:Z25)</f>
        <v>14666.666666666666</v>
      </c>
      <c r="AA26" s="97">
        <f t="shared" si="17"/>
        <v>14166.666666666668</v>
      </c>
      <c r="AB26" s="97">
        <f t="shared" ref="AB26:AC26" si="18">SUM(AB14:AB25)</f>
        <v>13666.666666666666</v>
      </c>
      <c r="AC26" s="97">
        <f t="shared" si="18"/>
        <v>13166.666666666666</v>
      </c>
      <c r="AD26" s="97">
        <f t="shared" ref="AD26" si="19">SUM(AD14:AD25)</f>
        <v>13166.666666666668</v>
      </c>
      <c r="AF26" s="97">
        <f t="shared" ref="AF26:AN26" si="20">SUM(AF14:AF25)</f>
        <v>0</v>
      </c>
      <c r="AG26" s="97">
        <f>SUM(AG14:AG25)</f>
        <v>109333.33333333334</v>
      </c>
      <c r="AH26" s="97">
        <f>SUM(AH14:AH25)</f>
        <v>140166.66666666669</v>
      </c>
      <c r="AI26" s="97">
        <f>SUM(AI14:AI25)</f>
        <v>162833.33333333334</v>
      </c>
      <c r="AJ26" s="97">
        <f>SUM(AJ14:AJ25)</f>
        <v>182333.33333333331</v>
      </c>
      <c r="AK26" s="97">
        <f t="shared" si="20"/>
        <v>189666.66666666666</v>
      </c>
      <c r="AL26" s="97">
        <f t="shared" si="20"/>
        <v>185000</v>
      </c>
      <c r="AM26" s="97">
        <f t="shared" si="20"/>
        <v>180833.33333333331</v>
      </c>
      <c r="AN26" s="97">
        <f t="shared" si="20"/>
        <v>177166.66666666666</v>
      </c>
      <c r="AO26" s="97">
        <f t="shared" ref="AO26:AP26" si="21">SUM(AO14:AO25)</f>
        <v>174000</v>
      </c>
      <c r="AP26" s="97">
        <f t="shared" si="21"/>
        <v>170833.33333333331</v>
      </c>
    </row>
    <row r="27" spans="3:42" ht="14" thickTop="1" x14ac:dyDescent="0.15">
      <c r="C27" s="40"/>
      <c r="D27" s="40"/>
      <c r="G27" s="25"/>
      <c r="H27" s="25"/>
    </row>
    <row r="28" spans="3:42" x14ac:dyDescent="0.15">
      <c r="C28" s="51" t="s">
        <v>271</v>
      </c>
      <c r="D28" s="1"/>
      <c r="G28" s="25"/>
      <c r="H28" s="25"/>
    </row>
    <row r="29" spans="3:42" x14ac:dyDescent="0.15">
      <c r="C29" s="127" t="s">
        <v>301</v>
      </c>
      <c r="D29" s="40"/>
      <c r="E29" s="392">
        <v>20</v>
      </c>
      <c r="G29" s="242"/>
      <c r="H29" s="243">
        <f>(520000+17000+46000)/2</f>
        <v>291500</v>
      </c>
      <c r="I29" s="243">
        <f>(520000+17000+46000)/2</f>
        <v>291500</v>
      </c>
      <c r="J29" s="55"/>
      <c r="K29" s="55"/>
      <c r="L29" s="55">
        <f>SUM($G29:$K29)*2%</f>
        <v>11660</v>
      </c>
      <c r="M29" s="55">
        <f t="shared" ref="M29:Q34" si="22">SUM($G29:$K29)*2%</f>
        <v>11660</v>
      </c>
      <c r="N29" s="55">
        <f t="shared" si="22"/>
        <v>11660</v>
      </c>
      <c r="O29" s="55">
        <f t="shared" si="22"/>
        <v>11660</v>
      </c>
      <c r="P29" s="55">
        <f t="shared" si="22"/>
        <v>11660</v>
      </c>
      <c r="Q29" s="55">
        <f t="shared" si="22"/>
        <v>11660</v>
      </c>
      <c r="R29" s="2"/>
      <c r="T29" s="6">
        <f>SUM($G29:G29)/$E29</f>
        <v>0</v>
      </c>
      <c r="U29" s="6">
        <f>SUM($G29:H29)/$E29</f>
        <v>14575</v>
      </c>
      <c r="V29" s="6">
        <f>SUM($G29:I29)/$E29</f>
        <v>29150</v>
      </c>
      <c r="W29" s="6">
        <f>SUM($G29:J29)/$E29</f>
        <v>29150</v>
      </c>
      <c r="X29" s="6">
        <f>SUM($G29:K29)/$E29</f>
        <v>29150</v>
      </c>
      <c r="Y29" s="6">
        <f>SUM($G29:L29)/$E29</f>
        <v>29733</v>
      </c>
      <c r="Z29" s="6">
        <f>SUM($G29:M29)/$E29</f>
        <v>30316</v>
      </c>
      <c r="AA29" s="6">
        <f>SUM($G29:N29)/$E29</f>
        <v>30899</v>
      </c>
      <c r="AB29" s="6">
        <f>SUM($G29:O29)/$E29</f>
        <v>31482</v>
      </c>
      <c r="AC29" s="6">
        <f>SUM($G29:P29)/$E29</f>
        <v>32065</v>
      </c>
      <c r="AD29" s="6">
        <f>SUM($G29:Q29)/$E29</f>
        <v>32648</v>
      </c>
      <c r="AF29" s="8">
        <f t="shared" ref="AF29:AF43" si="23">+G29-T29</f>
        <v>0</v>
      </c>
      <c r="AG29" s="8">
        <f t="shared" ref="AG29:AG43" si="24">AF29+H29-U29</f>
        <v>276925</v>
      </c>
      <c r="AH29" s="8">
        <f t="shared" ref="AH29:AH45" si="25">AG29+I29-V29</f>
        <v>539275</v>
      </c>
      <c r="AI29" s="8">
        <f t="shared" ref="AI29:AI45" si="26">AH29+J29-W29</f>
        <v>510125</v>
      </c>
      <c r="AJ29" s="8">
        <f>AI29+K29-X29</f>
        <v>480975</v>
      </c>
      <c r="AK29" s="8">
        <f t="shared" ref="AJ29:AP34" si="27">AJ29+L29-Y29</f>
        <v>462902</v>
      </c>
      <c r="AL29" s="8">
        <f t="shared" si="27"/>
        <v>444246</v>
      </c>
      <c r="AM29" s="8">
        <f t="shared" si="27"/>
        <v>425007</v>
      </c>
      <c r="AN29" s="8">
        <f t="shared" si="27"/>
        <v>405185</v>
      </c>
      <c r="AO29" s="8">
        <f t="shared" si="27"/>
        <v>384780</v>
      </c>
      <c r="AP29" s="8">
        <f t="shared" si="27"/>
        <v>363792</v>
      </c>
    </row>
    <row r="30" spans="3:42" x14ac:dyDescent="0.15">
      <c r="C30" s="129" t="s">
        <v>302</v>
      </c>
      <c r="E30" s="392">
        <v>20</v>
      </c>
      <c r="G30" s="242"/>
      <c r="H30" s="243">
        <v>250000</v>
      </c>
      <c r="I30" s="55"/>
      <c r="J30" s="223"/>
      <c r="K30" s="55"/>
      <c r="L30" s="55">
        <f t="shared" ref="L30:L34" si="28">SUM($G30:$K30)*2%</f>
        <v>5000</v>
      </c>
      <c r="M30" s="55">
        <f t="shared" si="22"/>
        <v>5000</v>
      </c>
      <c r="N30" s="55">
        <f t="shared" si="22"/>
        <v>5000</v>
      </c>
      <c r="O30" s="55">
        <f t="shared" si="22"/>
        <v>5000</v>
      </c>
      <c r="P30" s="55">
        <f t="shared" si="22"/>
        <v>5000</v>
      </c>
      <c r="Q30" s="55">
        <f t="shared" si="22"/>
        <v>5000</v>
      </c>
      <c r="R30" s="2"/>
      <c r="T30" s="6">
        <f>SUM($G30:G30)/$E30</f>
        <v>0</v>
      </c>
      <c r="U30" s="6">
        <f>SUM($G30:H30)/$E30</f>
        <v>12500</v>
      </c>
      <c r="V30" s="6">
        <f>SUM($G30:I30)/$E30</f>
        <v>12500</v>
      </c>
      <c r="W30" s="6">
        <f>SUM($G30:J30)/$E30</f>
        <v>12500</v>
      </c>
      <c r="X30" s="6">
        <f>SUM($G30:K30)/$E30</f>
        <v>12500</v>
      </c>
      <c r="Y30" s="6">
        <f>SUM($G30:L30)/$E30</f>
        <v>12750</v>
      </c>
      <c r="Z30" s="6">
        <f>SUM($G30:M30)/$E30</f>
        <v>13000</v>
      </c>
      <c r="AA30" s="6">
        <f>SUM($G30:N30)/$E30</f>
        <v>13250</v>
      </c>
      <c r="AB30" s="6">
        <f>SUM($G30:O30)/$E30</f>
        <v>13500</v>
      </c>
      <c r="AC30" s="6">
        <f>SUM($G30:P30)/$E30</f>
        <v>13750</v>
      </c>
      <c r="AD30" s="6">
        <f>SUM($G30:Q30)/$E30</f>
        <v>14000</v>
      </c>
      <c r="AF30" s="8">
        <f t="shared" si="23"/>
        <v>0</v>
      </c>
      <c r="AG30" s="8">
        <f t="shared" si="24"/>
        <v>237500</v>
      </c>
      <c r="AH30" s="8">
        <f t="shared" si="25"/>
        <v>225000</v>
      </c>
      <c r="AI30" s="8">
        <f t="shared" si="26"/>
        <v>212500</v>
      </c>
      <c r="AJ30" s="8">
        <f t="shared" si="27"/>
        <v>200000</v>
      </c>
      <c r="AK30" s="8">
        <f t="shared" si="27"/>
        <v>192250</v>
      </c>
      <c r="AL30" s="8">
        <f t="shared" si="27"/>
        <v>184250</v>
      </c>
      <c r="AM30" s="8">
        <f t="shared" si="27"/>
        <v>176000</v>
      </c>
      <c r="AN30" s="8">
        <f t="shared" si="27"/>
        <v>167500</v>
      </c>
      <c r="AO30" s="8">
        <f t="shared" si="27"/>
        <v>158750</v>
      </c>
      <c r="AP30" s="8">
        <f t="shared" si="27"/>
        <v>149750</v>
      </c>
    </row>
    <row r="31" spans="3:42" x14ac:dyDescent="0.15">
      <c r="C31" s="127" t="s">
        <v>303</v>
      </c>
      <c r="E31" s="392">
        <v>20</v>
      </c>
      <c r="G31" s="242"/>
      <c r="H31" s="243"/>
      <c r="I31" s="243">
        <f>(520000+17000+46000)/2</f>
        <v>291500</v>
      </c>
      <c r="J31" s="243">
        <f>(520000+17000+46000)/2</f>
        <v>291500</v>
      </c>
      <c r="K31" s="55"/>
      <c r="L31" s="55">
        <f t="shared" si="28"/>
        <v>11660</v>
      </c>
      <c r="M31" s="55">
        <f t="shared" si="22"/>
        <v>11660</v>
      </c>
      <c r="N31" s="55">
        <f t="shared" si="22"/>
        <v>11660</v>
      </c>
      <c r="O31" s="55">
        <f t="shared" si="22"/>
        <v>11660</v>
      </c>
      <c r="P31" s="55">
        <f t="shared" si="22"/>
        <v>11660</v>
      </c>
      <c r="Q31" s="55">
        <f t="shared" si="22"/>
        <v>11660</v>
      </c>
      <c r="R31" s="2"/>
      <c r="T31" s="6">
        <f>SUM($G31:G31)/$E31</f>
        <v>0</v>
      </c>
      <c r="U31" s="6">
        <f>SUM($G31:H31)/$E31</f>
        <v>0</v>
      </c>
      <c r="V31" s="6">
        <f>SUM($G31:I31)/$E31</f>
        <v>14575</v>
      </c>
      <c r="W31" s="6">
        <f>SUM($G31:J31)/$E31</f>
        <v>29150</v>
      </c>
      <c r="X31" s="6">
        <f>SUM($G31:K31)/$E31</f>
        <v>29150</v>
      </c>
      <c r="Y31" s="6">
        <f>SUM($G31:L31)/$E31</f>
        <v>29733</v>
      </c>
      <c r="Z31" s="6">
        <f>SUM($G31:M31)/$E31</f>
        <v>30316</v>
      </c>
      <c r="AA31" s="6">
        <f>SUM($G31:N31)/$E31</f>
        <v>30899</v>
      </c>
      <c r="AB31" s="6">
        <f>SUM($G31:O31)/$E31</f>
        <v>31482</v>
      </c>
      <c r="AC31" s="6">
        <f>SUM($G31:P31)/$E31</f>
        <v>32065</v>
      </c>
      <c r="AD31" s="6">
        <f>SUM($G31:Q31)/$E31</f>
        <v>32648</v>
      </c>
      <c r="AF31" s="8">
        <f t="shared" si="23"/>
        <v>0</v>
      </c>
      <c r="AG31" s="8">
        <f t="shared" si="24"/>
        <v>0</v>
      </c>
      <c r="AH31" s="8">
        <f t="shared" si="25"/>
        <v>276925</v>
      </c>
      <c r="AI31" s="8">
        <f t="shared" si="26"/>
        <v>539275</v>
      </c>
      <c r="AJ31" s="8">
        <f t="shared" si="27"/>
        <v>510125</v>
      </c>
      <c r="AK31" s="8">
        <f t="shared" si="27"/>
        <v>492052</v>
      </c>
      <c r="AL31" s="8">
        <f t="shared" si="27"/>
        <v>473396</v>
      </c>
      <c r="AM31" s="8">
        <f t="shared" si="27"/>
        <v>454157</v>
      </c>
      <c r="AN31" s="8">
        <f t="shared" si="27"/>
        <v>434335</v>
      </c>
      <c r="AO31" s="8">
        <f t="shared" si="27"/>
        <v>413930</v>
      </c>
      <c r="AP31" s="8">
        <f t="shared" si="27"/>
        <v>392942</v>
      </c>
    </row>
    <row r="32" spans="3:42" x14ac:dyDescent="0.15">
      <c r="C32" s="129" t="s">
        <v>304</v>
      </c>
      <c r="D32" s="40"/>
      <c r="E32" s="392">
        <v>20</v>
      </c>
      <c r="G32" s="244"/>
      <c r="H32" s="243"/>
      <c r="I32" s="243">
        <v>200000</v>
      </c>
      <c r="J32" s="55"/>
      <c r="K32" s="55"/>
      <c r="L32" s="55">
        <f t="shared" si="28"/>
        <v>4000</v>
      </c>
      <c r="M32" s="55">
        <f t="shared" si="22"/>
        <v>4000</v>
      </c>
      <c r="N32" s="55">
        <f t="shared" si="22"/>
        <v>4000</v>
      </c>
      <c r="O32" s="55">
        <f t="shared" si="22"/>
        <v>4000</v>
      </c>
      <c r="P32" s="55">
        <f t="shared" si="22"/>
        <v>4000</v>
      </c>
      <c r="Q32" s="55">
        <f t="shared" si="22"/>
        <v>4000</v>
      </c>
      <c r="R32" s="2"/>
      <c r="T32" s="6">
        <f>SUM($G32:G32)/$E32</f>
        <v>0</v>
      </c>
      <c r="U32" s="6">
        <f>SUM($G32:H32)/$E32</f>
        <v>0</v>
      </c>
      <c r="V32" s="6">
        <f>SUM($G32:I32)/$E32</f>
        <v>10000</v>
      </c>
      <c r="W32" s="6">
        <f>SUM($G32:J32)/$E32</f>
        <v>10000</v>
      </c>
      <c r="X32" s="6">
        <f>SUM($G32:K32)/$E32</f>
        <v>10000</v>
      </c>
      <c r="Y32" s="6">
        <f>SUM($G32:L32)/$E32</f>
        <v>10200</v>
      </c>
      <c r="Z32" s="6">
        <f>SUM($G32:M32)/$E32</f>
        <v>10400</v>
      </c>
      <c r="AA32" s="6">
        <f>SUM($G32:N32)/$E32</f>
        <v>10600</v>
      </c>
      <c r="AB32" s="6">
        <f>SUM($G32:O32)/$E32</f>
        <v>10800</v>
      </c>
      <c r="AC32" s="6">
        <f>SUM($G32:P32)/$E32</f>
        <v>11000</v>
      </c>
      <c r="AD32" s="6">
        <f>SUM($G32:Q32)/$E32</f>
        <v>11200</v>
      </c>
      <c r="AF32" s="8">
        <f t="shared" si="23"/>
        <v>0</v>
      </c>
      <c r="AG32" s="8">
        <f t="shared" si="24"/>
        <v>0</v>
      </c>
      <c r="AH32" s="8">
        <f t="shared" si="25"/>
        <v>190000</v>
      </c>
      <c r="AI32" s="8">
        <f t="shared" si="26"/>
        <v>180000</v>
      </c>
      <c r="AJ32" s="8">
        <f t="shared" si="27"/>
        <v>170000</v>
      </c>
      <c r="AK32" s="8">
        <f t="shared" si="27"/>
        <v>163800</v>
      </c>
      <c r="AL32" s="8">
        <f t="shared" si="27"/>
        <v>157400</v>
      </c>
      <c r="AM32" s="8">
        <f t="shared" si="27"/>
        <v>150800</v>
      </c>
      <c r="AN32" s="8">
        <f t="shared" si="27"/>
        <v>144000</v>
      </c>
      <c r="AO32" s="8">
        <f t="shared" si="27"/>
        <v>137000</v>
      </c>
      <c r="AP32" s="8">
        <f t="shared" si="27"/>
        <v>129800</v>
      </c>
    </row>
    <row r="33" spans="3:42" x14ac:dyDescent="0.15">
      <c r="C33" s="127" t="s">
        <v>305</v>
      </c>
      <c r="D33" s="168"/>
      <c r="E33" s="392">
        <v>20</v>
      </c>
      <c r="G33" s="242"/>
      <c r="H33" s="243"/>
      <c r="I33" s="214"/>
      <c r="J33" s="243">
        <v>225000</v>
      </c>
      <c r="K33" s="243">
        <v>225000</v>
      </c>
      <c r="L33" s="55">
        <f t="shared" si="28"/>
        <v>9000</v>
      </c>
      <c r="M33" s="55">
        <f t="shared" si="22"/>
        <v>9000</v>
      </c>
      <c r="N33" s="55">
        <f t="shared" si="22"/>
        <v>9000</v>
      </c>
      <c r="O33" s="55">
        <f t="shared" si="22"/>
        <v>9000</v>
      </c>
      <c r="P33" s="55">
        <f t="shared" si="22"/>
        <v>9000</v>
      </c>
      <c r="Q33" s="55">
        <f t="shared" si="22"/>
        <v>9000</v>
      </c>
      <c r="R33" s="2"/>
      <c r="T33" s="6">
        <f>SUM($G33:G33)/$E33</f>
        <v>0</v>
      </c>
      <c r="U33" s="6">
        <f>SUM($G33:H33)/$E33</f>
        <v>0</v>
      </c>
      <c r="V33" s="6">
        <f>SUM($G33:I33)/$E33</f>
        <v>0</v>
      </c>
      <c r="W33" s="6">
        <f>SUM($G33:J33)/$E33</f>
        <v>11250</v>
      </c>
      <c r="X33" s="6">
        <f>SUM($G33:K33)/$E33</f>
        <v>22500</v>
      </c>
      <c r="Y33" s="6">
        <f>SUM($G33:L33)/$E33</f>
        <v>22950</v>
      </c>
      <c r="Z33" s="6">
        <f>SUM($G33:M33)/$E33</f>
        <v>23400</v>
      </c>
      <c r="AA33" s="6">
        <f>SUM($G33:N33)/$E33</f>
        <v>23850</v>
      </c>
      <c r="AB33" s="6">
        <f>SUM($G33:O33)/$E33</f>
        <v>24300</v>
      </c>
      <c r="AC33" s="6">
        <f>SUM($G33:P33)/$E33</f>
        <v>24750</v>
      </c>
      <c r="AD33" s="6">
        <f>SUM($G33:Q33)/$E33</f>
        <v>25200</v>
      </c>
      <c r="AF33" s="8">
        <f t="shared" si="23"/>
        <v>0</v>
      </c>
      <c r="AG33" s="8">
        <f t="shared" si="24"/>
        <v>0</v>
      </c>
      <c r="AH33" s="8">
        <f t="shared" si="25"/>
        <v>0</v>
      </c>
      <c r="AI33" s="8">
        <f t="shared" si="26"/>
        <v>213750</v>
      </c>
      <c r="AJ33" s="8">
        <f t="shared" si="27"/>
        <v>416250</v>
      </c>
      <c r="AK33" s="8">
        <f t="shared" si="27"/>
        <v>402300</v>
      </c>
      <c r="AL33" s="8">
        <f t="shared" si="27"/>
        <v>387900</v>
      </c>
      <c r="AM33" s="8">
        <f t="shared" si="27"/>
        <v>373050</v>
      </c>
      <c r="AN33" s="8">
        <f t="shared" si="27"/>
        <v>357750</v>
      </c>
      <c r="AO33" s="8">
        <f t="shared" si="27"/>
        <v>342000</v>
      </c>
      <c r="AP33" s="8">
        <f t="shared" si="27"/>
        <v>325800</v>
      </c>
    </row>
    <row r="34" spans="3:42" x14ac:dyDescent="0.15">
      <c r="C34" s="129" t="s">
        <v>306</v>
      </c>
      <c r="D34" s="40"/>
      <c r="E34" s="392">
        <v>20</v>
      </c>
      <c r="G34" s="244"/>
      <c r="H34" s="243"/>
      <c r="I34" s="55"/>
      <c r="J34" s="243">
        <v>175000</v>
      </c>
      <c r="K34" s="55"/>
      <c r="L34" s="55">
        <f t="shared" si="28"/>
        <v>3500</v>
      </c>
      <c r="M34" s="55">
        <f t="shared" si="22"/>
        <v>3500</v>
      </c>
      <c r="N34" s="55">
        <f t="shared" si="22"/>
        <v>3500</v>
      </c>
      <c r="O34" s="55">
        <f t="shared" si="22"/>
        <v>3500</v>
      </c>
      <c r="P34" s="55">
        <f t="shared" si="22"/>
        <v>3500</v>
      </c>
      <c r="Q34" s="55">
        <f t="shared" si="22"/>
        <v>3500</v>
      </c>
      <c r="R34" s="2"/>
      <c r="T34" s="6">
        <f>SUM($G34:G34)/$E34</f>
        <v>0</v>
      </c>
      <c r="U34" s="6">
        <f>SUM($G34:H34)/$E34</f>
        <v>0</v>
      </c>
      <c r="V34" s="6">
        <f>SUM($G34:I34)/$E34</f>
        <v>0</v>
      </c>
      <c r="W34" s="6">
        <f>SUM($G34:J34)/$E34</f>
        <v>8750</v>
      </c>
      <c r="X34" s="6">
        <f>SUM($G34:K34)/$E34</f>
        <v>8750</v>
      </c>
      <c r="Y34" s="6">
        <f>SUM($G34:L34)/$E34</f>
        <v>8925</v>
      </c>
      <c r="Z34" s="6">
        <f>SUM($G34:M34)/$E34</f>
        <v>9100</v>
      </c>
      <c r="AA34" s="6">
        <f>SUM($G34:N34)/$E34</f>
        <v>9275</v>
      </c>
      <c r="AB34" s="6">
        <f>SUM($G34:O34)/$E34</f>
        <v>9450</v>
      </c>
      <c r="AC34" s="6">
        <f>SUM($G34:P34)/$E34</f>
        <v>9625</v>
      </c>
      <c r="AD34" s="6">
        <f>SUM($G34:Q34)/$E34</f>
        <v>9800</v>
      </c>
      <c r="AF34" s="8">
        <f t="shared" si="23"/>
        <v>0</v>
      </c>
      <c r="AG34" s="8">
        <f t="shared" si="24"/>
        <v>0</v>
      </c>
      <c r="AH34" s="8">
        <f t="shared" si="25"/>
        <v>0</v>
      </c>
      <c r="AI34" s="8">
        <f t="shared" si="26"/>
        <v>166250</v>
      </c>
      <c r="AJ34" s="8">
        <f t="shared" si="27"/>
        <v>157500</v>
      </c>
      <c r="AK34" s="8">
        <f t="shared" si="27"/>
        <v>152075</v>
      </c>
      <c r="AL34" s="8">
        <f t="shared" si="27"/>
        <v>146475</v>
      </c>
      <c r="AM34" s="8">
        <f t="shared" si="27"/>
        <v>140700</v>
      </c>
      <c r="AN34" s="8">
        <f t="shared" si="27"/>
        <v>134750</v>
      </c>
      <c r="AO34" s="8">
        <f t="shared" si="27"/>
        <v>128625</v>
      </c>
      <c r="AP34" s="8">
        <f t="shared" si="27"/>
        <v>122325</v>
      </c>
    </row>
    <row r="35" spans="3:42" x14ac:dyDescent="0.15">
      <c r="C35" s="127" t="s">
        <v>327</v>
      </c>
      <c r="D35" s="40"/>
      <c r="E35" s="392">
        <v>20</v>
      </c>
      <c r="F35" s="387"/>
      <c r="G35" s="244"/>
      <c r="H35" s="243"/>
      <c r="I35" s="55"/>
      <c r="J35" s="243"/>
      <c r="K35" s="243">
        <v>225000</v>
      </c>
      <c r="L35" s="243">
        <v>225000</v>
      </c>
      <c r="M35" s="55"/>
      <c r="N35" s="55"/>
      <c r="O35" s="55"/>
      <c r="P35" s="55"/>
      <c r="Q35" s="55"/>
      <c r="R35" s="2"/>
      <c r="T35" s="6">
        <f>SUM($G35:G35)/$E35</f>
        <v>0</v>
      </c>
      <c r="U35" s="6">
        <f>SUM($G35:H35)/$E35</f>
        <v>0</v>
      </c>
      <c r="V35" s="6">
        <f>SUM($G35:I35)/$E35</f>
        <v>0</v>
      </c>
      <c r="W35" s="6">
        <f>SUM($G35:J35)/$E35</f>
        <v>0</v>
      </c>
      <c r="X35" s="6">
        <f>SUM($G35:K35)/$E35</f>
        <v>11250</v>
      </c>
      <c r="Y35" s="6">
        <f>SUM($G35:L35)/$E35</f>
        <v>22500</v>
      </c>
      <c r="Z35" s="6">
        <f>SUM($G35:M35)/$E35</f>
        <v>22500</v>
      </c>
      <c r="AA35" s="6">
        <f>SUM($G35:N35)/$E35</f>
        <v>22500</v>
      </c>
      <c r="AB35" s="6">
        <f>SUM($G35:O35)/$E35</f>
        <v>22500</v>
      </c>
      <c r="AC35" s="6">
        <f>SUM($G35:P35)/$E35</f>
        <v>22500</v>
      </c>
      <c r="AD35" s="6">
        <f>SUM($G35:Q35)/$E35</f>
        <v>22500</v>
      </c>
      <c r="AF35" s="8">
        <f t="shared" ref="AF35:AF36" si="29">+G35-T35</f>
        <v>0</v>
      </c>
      <c r="AG35" s="8">
        <f t="shared" ref="AG35:AG36" si="30">AF35+H35-U35</f>
        <v>0</v>
      </c>
      <c r="AH35" s="8">
        <f t="shared" ref="AH35:AH36" si="31">AG35+I35-V35</f>
        <v>0</v>
      </c>
      <c r="AI35" s="8">
        <f t="shared" ref="AI35:AI36" si="32">AH35+J35-W35</f>
        <v>0</v>
      </c>
      <c r="AJ35" s="8">
        <f t="shared" ref="AJ35:AJ36" si="33">AI35+K35-X35</f>
        <v>213750</v>
      </c>
      <c r="AK35" s="8">
        <f t="shared" ref="AK35:AK36" si="34">AJ35+L35-Y35</f>
        <v>416250</v>
      </c>
      <c r="AL35" s="8">
        <f t="shared" ref="AL35:AL36" si="35">AK35+M35-Z35</f>
        <v>393750</v>
      </c>
      <c r="AM35" s="8">
        <f t="shared" ref="AM35:AM36" si="36">AL35+N35-AA35</f>
        <v>371250</v>
      </c>
      <c r="AN35" s="8">
        <f t="shared" ref="AN35:AN36" si="37">AM35+O35-AB35</f>
        <v>348750</v>
      </c>
      <c r="AO35" s="8">
        <f t="shared" ref="AO35:AO36" si="38">AN35+P35-AC35</f>
        <v>326250</v>
      </c>
      <c r="AP35" s="8">
        <f t="shared" ref="AP35:AP36" si="39">AO35+Q35-AD35</f>
        <v>303750</v>
      </c>
    </row>
    <row r="36" spans="3:42" x14ac:dyDescent="0.15">
      <c r="C36" s="127" t="s">
        <v>328</v>
      </c>
      <c r="D36" s="40"/>
      <c r="E36" s="392">
        <v>20</v>
      </c>
      <c r="F36" s="387"/>
      <c r="G36" s="244"/>
      <c r="H36" s="243"/>
      <c r="I36" s="55"/>
      <c r="J36" s="243"/>
      <c r="K36" s="243">
        <v>175000</v>
      </c>
      <c r="L36" s="55"/>
      <c r="M36" s="55"/>
      <c r="N36" s="55"/>
      <c r="O36" s="55"/>
      <c r="P36" s="55"/>
      <c r="Q36" s="55"/>
      <c r="R36" s="2"/>
      <c r="T36" s="6">
        <f>SUM($G36:G36)/$E36</f>
        <v>0</v>
      </c>
      <c r="U36" s="6">
        <f>SUM($G36:H36)/$E36</f>
        <v>0</v>
      </c>
      <c r="V36" s="6">
        <f>SUM($G36:I36)/$E36</f>
        <v>0</v>
      </c>
      <c r="W36" s="6">
        <f>SUM($G36:J36)/$E36</f>
        <v>0</v>
      </c>
      <c r="X36" s="6">
        <f>SUM($G36:K36)/$E36</f>
        <v>8750</v>
      </c>
      <c r="Y36" s="6">
        <f>SUM($G36:L36)/$E36</f>
        <v>8750</v>
      </c>
      <c r="Z36" s="6">
        <f>SUM($G36:M36)/$E36</f>
        <v>8750</v>
      </c>
      <c r="AA36" s="6">
        <f>SUM($G36:N36)/$E36</f>
        <v>8750</v>
      </c>
      <c r="AB36" s="6">
        <f>SUM($G36:O36)/$E36</f>
        <v>8750</v>
      </c>
      <c r="AC36" s="6">
        <f>SUM($G36:P36)/$E36</f>
        <v>8750</v>
      </c>
      <c r="AD36" s="6">
        <f>SUM($G36:Q36)/$E36</f>
        <v>8750</v>
      </c>
      <c r="AF36" s="8">
        <f t="shared" si="29"/>
        <v>0</v>
      </c>
      <c r="AG36" s="8">
        <f t="shared" si="30"/>
        <v>0</v>
      </c>
      <c r="AH36" s="8">
        <f t="shared" si="31"/>
        <v>0</v>
      </c>
      <c r="AI36" s="8">
        <f t="shared" si="32"/>
        <v>0</v>
      </c>
      <c r="AJ36" s="8">
        <f t="shared" si="33"/>
        <v>166250</v>
      </c>
      <c r="AK36" s="8">
        <f t="shared" si="34"/>
        <v>157500</v>
      </c>
      <c r="AL36" s="8">
        <f t="shared" si="35"/>
        <v>148750</v>
      </c>
      <c r="AM36" s="8">
        <f t="shared" si="36"/>
        <v>140000</v>
      </c>
      <c r="AN36" s="8">
        <f t="shared" si="37"/>
        <v>131250</v>
      </c>
      <c r="AO36" s="8">
        <f t="shared" si="38"/>
        <v>122500</v>
      </c>
      <c r="AP36" s="8">
        <f t="shared" si="39"/>
        <v>113750</v>
      </c>
    </row>
    <row r="37" spans="3:42" x14ac:dyDescent="0.15">
      <c r="C37" s="129"/>
      <c r="D37" s="40"/>
      <c r="E37" s="392"/>
      <c r="F37" s="387"/>
      <c r="G37" s="244"/>
      <c r="H37" s="243"/>
      <c r="I37" s="55"/>
      <c r="J37" s="243"/>
      <c r="K37" s="55"/>
      <c r="L37" s="55"/>
      <c r="M37" s="55"/>
      <c r="N37" s="55"/>
      <c r="O37" s="55"/>
      <c r="P37" s="55"/>
      <c r="Q37" s="55"/>
      <c r="R37" s="2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3:42" x14ac:dyDescent="0.15">
      <c r="C38" s="127" t="s">
        <v>307</v>
      </c>
      <c r="D38" s="40"/>
      <c r="E38" s="392">
        <v>10</v>
      </c>
      <c r="G38" s="410">
        <f>7100000/115</f>
        <v>61739.130434782608</v>
      </c>
      <c r="H38" s="55">
        <f>30000+(85900+26000)/2</f>
        <v>85950</v>
      </c>
      <c r="I38" s="55">
        <f>(85900+26000)/2</f>
        <v>55950</v>
      </c>
      <c r="J38" s="55"/>
      <c r="K38" s="55"/>
      <c r="L38" s="55"/>
      <c r="M38" s="55">
        <f>SUM($G38:$L38)*1%</f>
        <v>2036.391304347826</v>
      </c>
      <c r="N38" s="55">
        <f t="shared" ref="N38:Q44" si="40">SUM($G38:$L38)*1%</f>
        <v>2036.391304347826</v>
      </c>
      <c r="O38" s="55">
        <f t="shared" si="40"/>
        <v>2036.391304347826</v>
      </c>
      <c r="P38" s="55">
        <f t="shared" si="40"/>
        <v>2036.391304347826</v>
      </c>
      <c r="Q38" s="55">
        <f t="shared" si="40"/>
        <v>2036.391304347826</v>
      </c>
      <c r="R38" s="2"/>
      <c r="T38" s="6">
        <f>SUM($G38:G38)/$E38</f>
        <v>6173.913043478261</v>
      </c>
      <c r="U38" s="6">
        <f>SUM($G38:H38)/$E38</f>
        <v>14768.91304347826</v>
      </c>
      <c r="V38" s="6">
        <f>SUM($G38:I38)/$E38</f>
        <v>20363.91304347826</v>
      </c>
      <c r="W38" s="6">
        <f>SUM($G38:J38)/$E38</f>
        <v>20363.91304347826</v>
      </c>
      <c r="X38" s="6">
        <f>SUM($G38:K38)/$E38</f>
        <v>20363.91304347826</v>
      </c>
      <c r="Y38" s="6">
        <f>SUM($G38:L38)/$E38</f>
        <v>20363.91304347826</v>
      </c>
      <c r="Z38" s="6">
        <f>SUM($G38:M38)/$E38</f>
        <v>20567.552173913042</v>
      </c>
      <c r="AA38" s="6">
        <f>SUM($G38:N38)/$E38</f>
        <v>20771.191304347827</v>
      </c>
      <c r="AB38" s="6">
        <f>SUM($G38:O38)/$E38</f>
        <v>20974.830434782612</v>
      </c>
      <c r="AC38" s="6">
        <f>SUM(G38:P38)/$E38</f>
        <v>21178.469565217394</v>
      </c>
      <c r="AD38" s="6">
        <f t="shared" ref="AD38:AD45" si="41">SUM(H38:Q38)/$E38</f>
        <v>15208.195652173919</v>
      </c>
      <c r="AF38" s="8">
        <f t="shared" si="23"/>
        <v>55565.217391304344</v>
      </c>
      <c r="AG38" s="8">
        <f>AF38+H38-U38</f>
        <v>126746.3043478261</v>
      </c>
      <c r="AH38" s="8">
        <f t="shared" si="25"/>
        <v>162332.39130434784</v>
      </c>
      <c r="AI38" s="8">
        <f t="shared" si="26"/>
        <v>141968.47826086957</v>
      </c>
      <c r="AJ38" s="8">
        <f t="shared" ref="AJ38:AP43" si="42">AI38+K38-X38</f>
        <v>121604.56521739131</v>
      </c>
      <c r="AK38" s="8">
        <f t="shared" si="42"/>
        <v>101240.65217391305</v>
      </c>
      <c r="AL38" s="8">
        <f t="shared" si="42"/>
        <v>82709.491304347845</v>
      </c>
      <c r="AM38" s="8">
        <f t="shared" si="42"/>
        <v>63974.691304347842</v>
      </c>
      <c r="AN38" s="8">
        <f t="shared" si="42"/>
        <v>45036.252173913053</v>
      </c>
      <c r="AO38" s="8">
        <f t="shared" si="42"/>
        <v>25894.173913043483</v>
      </c>
      <c r="AP38" s="8">
        <f t="shared" si="42"/>
        <v>12722.369565217392</v>
      </c>
    </row>
    <row r="39" spans="3:42" x14ac:dyDescent="0.15">
      <c r="C39" s="129" t="s">
        <v>308</v>
      </c>
      <c r="E39" s="392">
        <v>10</v>
      </c>
      <c r="G39" s="410"/>
      <c r="H39" s="55">
        <v>5000</v>
      </c>
      <c r="I39" s="55"/>
      <c r="J39" s="55"/>
      <c r="K39" s="55"/>
      <c r="L39" s="55"/>
      <c r="M39" s="55"/>
      <c r="N39" s="55"/>
      <c r="O39" s="55"/>
      <c r="P39" s="55"/>
      <c r="Q39" s="55"/>
      <c r="R39" s="2"/>
      <c r="T39" s="6">
        <f>SUM($G39:G39)/$E39</f>
        <v>0</v>
      </c>
      <c r="U39" s="6">
        <f>SUM($G39:H39)/$E39</f>
        <v>500</v>
      </c>
      <c r="V39" s="6">
        <f>SUM($G39:I39)/$E39</f>
        <v>500</v>
      </c>
      <c r="W39" s="6">
        <f>SUM($G39:J39)/$E39</f>
        <v>500</v>
      </c>
      <c r="X39" s="6">
        <f>SUM($G39:K39)/$E39</f>
        <v>500</v>
      </c>
      <c r="Y39" s="6">
        <f>SUM($G39:L39)/$E39</f>
        <v>500</v>
      </c>
      <c r="Z39" s="6">
        <f>SUM($G39:M39)/$E39</f>
        <v>500</v>
      </c>
      <c r="AA39" s="6">
        <f>SUM($G39:N39)/$E39</f>
        <v>500</v>
      </c>
      <c r="AB39" s="6">
        <f>SUM($G39:O39)/$E39</f>
        <v>500</v>
      </c>
      <c r="AC39" s="6">
        <f t="shared" ref="AC39:AC45" si="43">SUM(G39:P39)/$E39</f>
        <v>500</v>
      </c>
      <c r="AD39" s="6">
        <f t="shared" si="41"/>
        <v>500</v>
      </c>
      <c r="AF39" s="8">
        <f t="shared" si="23"/>
        <v>0</v>
      </c>
      <c r="AG39" s="8">
        <f t="shared" si="24"/>
        <v>4500</v>
      </c>
      <c r="AH39" s="8">
        <f t="shared" si="25"/>
        <v>4000</v>
      </c>
      <c r="AI39" s="8">
        <f t="shared" si="26"/>
        <v>3500</v>
      </c>
      <c r="AJ39" s="8">
        <f t="shared" si="42"/>
        <v>3000</v>
      </c>
      <c r="AK39" s="8">
        <f t="shared" si="42"/>
        <v>2500</v>
      </c>
      <c r="AL39" s="8">
        <f t="shared" si="42"/>
        <v>2000</v>
      </c>
      <c r="AM39" s="8">
        <f t="shared" si="42"/>
        <v>1500</v>
      </c>
      <c r="AN39" s="8">
        <f t="shared" si="42"/>
        <v>1000</v>
      </c>
      <c r="AO39" s="8">
        <f t="shared" si="42"/>
        <v>500</v>
      </c>
      <c r="AP39" s="8">
        <f t="shared" si="42"/>
        <v>0</v>
      </c>
    </row>
    <row r="40" spans="3:42" x14ac:dyDescent="0.15">
      <c r="C40" s="127" t="s">
        <v>305</v>
      </c>
      <c r="E40" s="392">
        <v>10</v>
      </c>
      <c r="G40" s="242"/>
      <c r="H40" s="55">
        <v>10000</v>
      </c>
      <c r="I40" s="55"/>
      <c r="J40" s="55"/>
      <c r="K40" s="55"/>
      <c r="L40" s="55"/>
      <c r="M40" s="55">
        <f t="shared" ref="M40:M42" si="44">SUM($G40:$L40)*1%</f>
        <v>100</v>
      </c>
      <c r="N40" s="55">
        <f t="shared" si="40"/>
        <v>100</v>
      </c>
      <c r="O40" s="55">
        <f t="shared" si="40"/>
        <v>100</v>
      </c>
      <c r="P40" s="55">
        <f t="shared" si="40"/>
        <v>100</v>
      </c>
      <c r="Q40" s="55">
        <f t="shared" si="40"/>
        <v>100</v>
      </c>
      <c r="R40" s="2"/>
      <c r="T40" s="6">
        <f>SUM($G40:G40)/$E40</f>
        <v>0</v>
      </c>
      <c r="U40" s="6">
        <f>SUM($G40:H40)/$E40</f>
        <v>1000</v>
      </c>
      <c r="V40" s="6">
        <f>SUM($G40:I40)/$E40</f>
        <v>1000</v>
      </c>
      <c r="W40" s="6">
        <f>SUM($G40:J40)/$E40</f>
        <v>1000</v>
      </c>
      <c r="X40" s="6">
        <f>SUM($G40:K40)/$E40</f>
        <v>1000</v>
      </c>
      <c r="Y40" s="6">
        <f>SUM($G40:L40)/$E40</f>
        <v>1000</v>
      </c>
      <c r="Z40" s="6">
        <f>SUM($G40:M40)/$E40</f>
        <v>1010</v>
      </c>
      <c r="AA40" s="6">
        <f>SUM($G40:N40)/$E40</f>
        <v>1020</v>
      </c>
      <c r="AB40" s="6">
        <f>SUM($G40:O40)/$E40</f>
        <v>1030</v>
      </c>
      <c r="AC40" s="6">
        <f t="shared" si="43"/>
        <v>1040</v>
      </c>
      <c r="AD40" s="6">
        <f t="shared" si="41"/>
        <v>1050</v>
      </c>
      <c r="AF40" s="8">
        <f t="shared" si="23"/>
        <v>0</v>
      </c>
      <c r="AG40" s="8">
        <f t="shared" si="24"/>
        <v>9000</v>
      </c>
      <c r="AH40" s="8">
        <f t="shared" si="25"/>
        <v>8000</v>
      </c>
      <c r="AI40" s="8">
        <f t="shared" si="26"/>
        <v>7000</v>
      </c>
      <c r="AJ40" s="8">
        <f t="shared" si="42"/>
        <v>6000</v>
      </c>
      <c r="AK40" s="8">
        <f t="shared" si="42"/>
        <v>5000</v>
      </c>
      <c r="AL40" s="8">
        <f t="shared" si="42"/>
        <v>4090</v>
      </c>
      <c r="AM40" s="8">
        <f t="shared" si="42"/>
        <v>3170</v>
      </c>
      <c r="AN40" s="8">
        <f t="shared" si="42"/>
        <v>2240</v>
      </c>
      <c r="AO40" s="8">
        <f t="shared" si="42"/>
        <v>1300</v>
      </c>
      <c r="AP40" s="8">
        <f t="shared" si="42"/>
        <v>350</v>
      </c>
    </row>
    <row r="41" spans="3:42" x14ac:dyDescent="0.15">
      <c r="C41" s="129" t="s">
        <v>306</v>
      </c>
      <c r="E41" s="392">
        <v>10</v>
      </c>
      <c r="G41" s="242"/>
      <c r="H41" s="55">
        <v>15000</v>
      </c>
      <c r="I41" s="55"/>
      <c r="J41" s="55"/>
      <c r="K41" s="55"/>
      <c r="L41" s="55"/>
      <c r="M41" s="55"/>
      <c r="N41" s="55"/>
      <c r="O41" s="55"/>
      <c r="P41" s="55"/>
      <c r="Q41" s="55"/>
      <c r="R41" s="2"/>
      <c r="T41" s="6">
        <f>SUM($G41:G41)/$E41</f>
        <v>0</v>
      </c>
      <c r="U41" s="6">
        <f>SUM($G41:H41)/$E41</f>
        <v>1500</v>
      </c>
      <c r="V41" s="6">
        <f>SUM($G41:I41)/$E41</f>
        <v>1500</v>
      </c>
      <c r="W41" s="6">
        <f>SUM($G41:J41)/$E41</f>
        <v>1500</v>
      </c>
      <c r="X41" s="6">
        <f>SUM($G41:K41)/$E41</f>
        <v>1500</v>
      </c>
      <c r="Y41" s="6">
        <f>SUM($G41:L41)/$E41</f>
        <v>1500</v>
      </c>
      <c r="Z41" s="6">
        <f>SUM($G41:M41)/$E41</f>
        <v>1500</v>
      </c>
      <c r="AA41" s="6">
        <f>SUM($G41:N41)/$E41</f>
        <v>1500</v>
      </c>
      <c r="AB41" s="6">
        <f>SUM($G41:O41)/$E41</f>
        <v>1500</v>
      </c>
      <c r="AC41" s="6">
        <f t="shared" si="43"/>
        <v>1500</v>
      </c>
      <c r="AD41" s="6">
        <f t="shared" si="41"/>
        <v>1500</v>
      </c>
      <c r="AF41" s="8">
        <f t="shared" si="23"/>
        <v>0</v>
      </c>
      <c r="AG41" s="8">
        <f t="shared" si="24"/>
        <v>13500</v>
      </c>
      <c r="AH41" s="8">
        <f t="shared" si="25"/>
        <v>12000</v>
      </c>
      <c r="AI41" s="8">
        <f t="shared" si="26"/>
        <v>10500</v>
      </c>
      <c r="AJ41" s="8">
        <f t="shared" si="42"/>
        <v>9000</v>
      </c>
      <c r="AK41" s="8">
        <f t="shared" si="42"/>
        <v>7500</v>
      </c>
      <c r="AL41" s="8">
        <f t="shared" si="42"/>
        <v>6000</v>
      </c>
      <c r="AM41" s="8">
        <f t="shared" si="42"/>
        <v>4500</v>
      </c>
      <c r="AN41" s="8">
        <f t="shared" si="42"/>
        <v>3000</v>
      </c>
      <c r="AO41" s="8">
        <f t="shared" si="42"/>
        <v>1500</v>
      </c>
      <c r="AP41" s="8">
        <f t="shared" si="42"/>
        <v>0</v>
      </c>
    </row>
    <row r="42" spans="3:42" x14ac:dyDescent="0.15">
      <c r="C42" s="127" t="s">
        <v>317</v>
      </c>
      <c r="E42" s="392">
        <v>10</v>
      </c>
      <c r="G42" s="242"/>
      <c r="H42" s="242">
        <f>3000*'Base figures'!L53</f>
        <v>150000</v>
      </c>
      <c r="I42" s="55">
        <f>3000*('Base figures'!M53-'Base figures'!L53)</f>
        <v>150000</v>
      </c>
      <c r="J42" s="55">
        <f>3000*('Base figures'!N53-'Base figures'!M53)</f>
        <v>300000</v>
      </c>
      <c r="K42" s="55">
        <f>3000*('Base figures'!O53-'Base figures'!N53)</f>
        <v>0</v>
      </c>
      <c r="L42" s="55"/>
      <c r="M42" s="55">
        <f t="shared" si="44"/>
        <v>6000</v>
      </c>
      <c r="N42" s="55">
        <f t="shared" si="40"/>
        <v>6000</v>
      </c>
      <c r="O42" s="55">
        <f t="shared" si="40"/>
        <v>6000</v>
      </c>
      <c r="P42" s="55">
        <f t="shared" si="40"/>
        <v>6000</v>
      </c>
      <c r="Q42" s="55">
        <f t="shared" si="40"/>
        <v>6000</v>
      </c>
      <c r="R42" s="2"/>
      <c r="T42" s="6">
        <f>SUM($G42:G42)/$E42</f>
        <v>0</v>
      </c>
      <c r="U42" s="6">
        <f>SUM($G42:H42)/$E42</f>
        <v>15000</v>
      </c>
      <c r="V42" s="6">
        <f>SUM($G42:I42)/$E42</f>
        <v>30000</v>
      </c>
      <c r="W42" s="6">
        <f>SUM($G42:J42)/$E42</f>
        <v>60000</v>
      </c>
      <c r="X42" s="6">
        <f>SUM($G42:K42)/$E42</f>
        <v>60000</v>
      </c>
      <c r="Y42" s="6">
        <f>SUM($G42:L42)/$E42</f>
        <v>60000</v>
      </c>
      <c r="Z42" s="6">
        <f>SUM($G42:M42)/$E42</f>
        <v>60600</v>
      </c>
      <c r="AA42" s="6">
        <f>SUM($G42:N42)/$E42</f>
        <v>61200</v>
      </c>
      <c r="AB42" s="6">
        <f>SUM($G42:O42)/$E42</f>
        <v>61800</v>
      </c>
      <c r="AC42" s="6">
        <f t="shared" si="43"/>
        <v>62400</v>
      </c>
      <c r="AD42" s="6">
        <f t="shared" si="41"/>
        <v>63000</v>
      </c>
      <c r="AF42" s="8">
        <f t="shared" si="23"/>
        <v>0</v>
      </c>
      <c r="AG42" s="8">
        <f t="shared" si="24"/>
        <v>135000</v>
      </c>
      <c r="AH42" s="8">
        <f t="shared" si="25"/>
        <v>255000</v>
      </c>
      <c r="AI42" s="8">
        <f t="shared" si="26"/>
        <v>495000</v>
      </c>
      <c r="AJ42" s="8">
        <f t="shared" si="42"/>
        <v>435000</v>
      </c>
      <c r="AK42" s="8">
        <f t="shared" si="42"/>
        <v>375000</v>
      </c>
      <c r="AL42" s="8">
        <f t="shared" si="42"/>
        <v>320400</v>
      </c>
      <c r="AM42" s="8">
        <f t="shared" si="42"/>
        <v>265200</v>
      </c>
      <c r="AN42" s="8">
        <f t="shared" si="42"/>
        <v>209400</v>
      </c>
      <c r="AO42" s="8">
        <f t="shared" si="42"/>
        <v>153000</v>
      </c>
      <c r="AP42" s="8">
        <f t="shared" si="42"/>
        <v>96000</v>
      </c>
    </row>
    <row r="43" spans="3:42" x14ac:dyDescent="0.15">
      <c r="C43" s="129" t="s">
        <v>316</v>
      </c>
      <c r="E43" s="392">
        <v>10</v>
      </c>
      <c r="G43" s="241"/>
      <c r="H43" s="243">
        <v>75000</v>
      </c>
      <c r="I43" s="243"/>
      <c r="J43" s="55"/>
      <c r="K43" s="55"/>
      <c r="L43" s="55"/>
      <c r="M43" s="55"/>
      <c r="N43" s="55"/>
      <c r="O43" s="55"/>
      <c r="P43" s="55"/>
      <c r="Q43" s="55"/>
      <c r="R43" s="2"/>
      <c r="T43" s="6">
        <f>SUM($G43:G43)/$E43</f>
        <v>0</v>
      </c>
      <c r="U43" s="6">
        <f>SUM($G43:H43)/$E43</f>
        <v>7500</v>
      </c>
      <c r="V43" s="6">
        <f>SUM($G43:I43)/$E43</f>
        <v>7500</v>
      </c>
      <c r="W43" s="6">
        <f>SUM($G43:J43)/$E43</f>
        <v>7500</v>
      </c>
      <c r="X43" s="6">
        <f>SUM($G43:K43)/$E43</f>
        <v>7500</v>
      </c>
      <c r="Y43" s="6">
        <f>SUM($G43:L43)/$E43</f>
        <v>7500</v>
      </c>
      <c r="Z43" s="6">
        <f>SUM($G43:M43)/$E43</f>
        <v>7500</v>
      </c>
      <c r="AA43" s="6">
        <f>SUM($G43:N43)/$E43</f>
        <v>7500</v>
      </c>
      <c r="AB43" s="6">
        <f>SUM($G43:O43)/$E43</f>
        <v>7500</v>
      </c>
      <c r="AC43" s="6">
        <f t="shared" si="43"/>
        <v>7500</v>
      </c>
      <c r="AD43" s="6">
        <f t="shared" si="41"/>
        <v>7500</v>
      </c>
      <c r="AF43" s="8">
        <f t="shared" si="23"/>
        <v>0</v>
      </c>
      <c r="AG43" s="8">
        <f t="shared" si="24"/>
        <v>67500</v>
      </c>
      <c r="AH43" s="8">
        <f t="shared" si="25"/>
        <v>60000</v>
      </c>
      <c r="AI43" s="8">
        <f t="shared" si="26"/>
        <v>52500</v>
      </c>
      <c r="AJ43" s="8">
        <f t="shared" si="42"/>
        <v>45000</v>
      </c>
      <c r="AK43" s="8">
        <f t="shared" si="42"/>
        <v>37500</v>
      </c>
      <c r="AL43" s="8">
        <f t="shared" si="42"/>
        <v>30000</v>
      </c>
      <c r="AM43" s="8">
        <f t="shared" si="42"/>
        <v>22500</v>
      </c>
      <c r="AN43" s="8">
        <f t="shared" si="42"/>
        <v>15000</v>
      </c>
      <c r="AO43" s="8">
        <f t="shared" si="42"/>
        <v>7500</v>
      </c>
      <c r="AP43" s="8">
        <f t="shared" si="42"/>
        <v>0</v>
      </c>
    </row>
    <row r="44" spans="3:42" x14ac:dyDescent="0.15">
      <c r="C44" s="127" t="s">
        <v>309</v>
      </c>
      <c r="E44" s="392">
        <v>10</v>
      </c>
      <c r="F44" s="387"/>
      <c r="G44" s="242"/>
      <c r="H44" s="242"/>
      <c r="J44" s="55"/>
      <c r="K44" s="55">
        <f>3000*('Base figures'!N61-'Base figures'!M61)</f>
        <v>0</v>
      </c>
      <c r="L44" s="55">
        <f>3000*('Base figures'!O61-'Base figures'!N61)</f>
        <v>300000</v>
      </c>
      <c r="M44" s="55">
        <f>3000*('Base figures'!P61-'Base figures'!O61)</f>
        <v>150000</v>
      </c>
      <c r="N44" s="55">
        <f t="shared" si="40"/>
        <v>3000</v>
      </c>
      <c r="O44" s="55">
        <f t="shared" si="40"/>
        <v>3000</v>
      </c>
      <c r="P44" s="55">
        <f t="shared" si="40"/>
        <v>3000</v>
      </c>
      <c r="Q44" s="55">
        <f t="shared" si="40"/>
        <v>3000</v>
      </c>
      <c r="R44" s="2"/>
      <c r="T44" s="6">
        <f>SUM($G44:G44)/$E44</f>
        <v>0</v>
      </c>
      <c r="U44" s="6">
        <f>SUM($G44:H44)/$E44</f>
        <v>0</v>
      </c>
      <c r="V44" s="6">
        <f>SUM($G44:I44)/$E44</f>
        <v>0</v>
      </c>
      <c r="W44" s="6">
        <f>SUM($G44:J44)/$E44</f>
        <v>0</v>
      </c>
      <c r="X44" s="6">
        <f>SUM($G44:K44)/$E44</f>
        <v>0</v>
      </c>
      <c r="Y44" s="6">
        <f>SUM($G44:L44)/$E44</f>
        <v>30000</v>
      </c>
      <c r="Z44" s="6">
        <f>SUM($G44:M44)/$E44</f>
        <v>45000</v>
      </c>
      <c r="AA44" s="6">
        <f>SUM($G44:N44)/$E44</f>
        <v>45300</v>
      </c>
      <c r="AB44" s="6">
        <f>SUM($G44:O44)/$E44</f>
        <v>45600</v>
      </c>
      <c r="AC44" s="6">
        <f t="shared" si="43"/>
        <v>45900</v>
      </c>
      <c r="AD44" s="6">
        <f t="shared" si="41"/>
        <v>46200</v>
      </c>
      <c r="AF44" s="8">
        <f t="shared" ref="AF44:AF45" si="45">+G44-T44</f>
        <v>0</v>
      </c>
      <c r="AG44" s="8">
        <f t="shared" ref="AG44:AG45" si="46">AF44+H44-U44</f>
        <v>0</v>
      </c>
      <c r="AH44" s="8">
        <f t="shared" si="25"/>
        <v>0</v>
      </c>
      <c r="AI44" s="8">
        <f t="shared" si="26"/>
        <v>0</v>
      </c>
      <c r="AJ44" s="8">
        <f t="shared" ref="AJ44:AJ45" si="47">AI44+K44-X44</f>
        <v>0</v>
      </c>
      <c r="AK44" s="8">
        <f t="shared" ref="AK44:AK45" si="48">AJ44+L44-Y44</f>
        <v>270000</v>
      </c>
      <c r="AL44" s="8">
        <f t="shared" ref="AL44:AL45" si="49">AK44+M44-Z44</f>
        <v>375000</v>
      </c>
      <c r="AM44" s="8">
        <f t="shared" ref="AM44:AM45" si="50">AL44+N44-AA44</f>
        <v>332700</v>
      </c>
      <c r="AN44" s="8">
        <f t="shared" ref="AN44:AP45" si="51">AM44+O44-AB44</f>
        <v>290100</v>
      </c>
      <c r="AO44" s="8">
        <f t="shared" si="51"/>
        <v>247200</v>
      </c>
      <c r="AP44" s="8">
        <f t="shared" si="51"/>
        <v>204000</v>
      </c>
    </row>
    <row r="45" spans="3:42" x14ac:dyDescent="0.15">
      <c r="C45" s="129" t="s">
        <v>310</v>
      </c>
      <c r="E45" s="392">
        <v>10</v>
      </c>
      <c r="F45" s="387"/>
      <c r="G45" s="241"/>
      <c r="H45" s="243"/>
      <c r="J45" s="243"/>
      <c r="K45" s="55"/>
      <c r="L45" s="243">
        <f>75000</f>
        <v>75000</v>
      </c>
      <c r="M45" s="55"/>
      <c r="N45" s="55"/>
      <c r="O45" s="55"/>
      <c r="P45" s="55"/>
      <c r="Q45" s="55"/>
      <c r="R45" s="2"/>
      <c r="T45" s="6">
        <f>SUM($G45:G45)/$E45</f>
        <v>0</v>
      </c>
      <c r="U45" s="6">
        <f>SUM($G45:H45)/$E45</f>
        <v>0</v>
      </c>
      <c r="V45" s="6">
        <f>SUM($G45:I45)/$E45</f>
        <v>0</v>
      </c>
      <c r="W45" s="6">
        <f>SUM($G45:J45)/$E45</f>
        <v>0</v>
      </c>
      <c r="X45" s="6">
        <f>SUM($G45:K45)/$E45</f>
        <v>0</v>
      </c>
      <c r="Y45" s="6">
        <f>SUM($G45:L45)/$E45</f>
        <v>7500</v>
      </c>
      <c r="Z45" s="6">
        <f>SUM($G45:M45)/$E45</f>
        <v>7500</v>
      </c>
      <c r="AA45" s="6">
        <f>SUM($G45:N45)/$E45</f>
        <v>7500</v>
      </c>
      <c r="AB45" s="6">
        <f>SUM($G45:O45)/$E45</f>
        <v>7500</v>
      </c>
      <c r="AC45" s="6">
        <f t="shared" si="43"/>
        <v>7500</v>
      </c>
      <c r="AD45" s="6">
        <f t="shared" si="41"/>
        <v>7500</v>
      </c>
      <c r="AF45" s="8">
        <f t="shared" si="45"/>
        <v>0</v>
      </c>
      <c r="AG45" s="8">
        <f t="shared" si="46"/>
        <v>0</v>
      </c>
      <c r="AH45" s="8">
        <f t="shared" si="25"/>
        <v>0</v>
      </c>
      <c r="AI45" s="8">
        <f t="shared" si="26"/>
        <v>0</v>
      </c>
      <c r="AJ45" s="8">
        <f t="shared" si="47"/>
        <v>0</v>
      </c>
      <c r="AK45" s="8">
        <f t="shared" si="48"/>
        <v>67500</v>
      </c>
      <c r="AL45" s="8">
        <f t="shared" si="49"/>
        <v>60000</v>
      </c>
      <c r="AM45" s="8">
        <f t="shared" si="50"/>
        <v>52500</v>
      </c>
      <c r="AN45" s="8">
        <f t="shared" si="51"/>
        <v>45000</v>
      </c>
      <c r="AO45" s="8">
        <f t="shared" si="51"/>
        <v>37500</v>
      </c>
      <c r="AP45" s="8">
        <f t="shared" si="51"/>
        <v>30000</v>
      </c>
    </row>
    <row r="46" spans="3:42" x14ac:dyDescent="0.15">
      <c r="C46" s="127"/>
      <c r="E46" s="394"/>
      <c r="F46" s="167"/>
      <c r="G46" s="242"/>
      <c r="H46" s="25"/>
      <c r="I46" s="55"/>
      <c r="J46" s="55"/>
      <c r="K46" s="55"/>
      <c r="L46" s="55"/>
      <c r="M46" s="55"/>
      <c r="N46" s="55"/>
      <c r="O46" s="55"/>
      <c r="P46" s="55"/>
      <c r="Q46" s="55"/>
      <c r="R46" s="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3:42" ht="14" thickBot="1" x14ac:dyDescent="0.2">
      <c r="C47" s="85"/>
      <c r="G47" s="4">
        <f t="shared" ref="G47" si="52">SUM(G29:G46)</f>
        <v>61739.130434782608</v>
      </c>
      <c r="H47" s="4">
        <f>SUM(H29:H46)</f>
        <v>882450</v>
      </c>
      <c r="I47" s="4">
        <f>SUM(I29:I46)</f>
        <v>988950</v>
      </c>
      <c r="J47" s="4">
        <f>SUM(J29:J46)</f>
        <v>991500</v>
      </c>
      <c r="K47" s="4">
        <f>SUM(K29:K46)</f>
        <v>625000</v>
      </c>
      <c r="L47" s="4">
        <f>SUM(L29:L46)</f>
        <v>644820</v>
      </c>
      <c r="M47" s="4">
        <f t="shared" ref="M47:N47" si="53">SUM(M29:M46)</f>
        <v>202956.39130434784</v>
      </c>
      <c r="N47" s="4">
        <f t="shared" si="53"/>
        <v>55956.391304347824</v>
      </c>
      <c r="O47" s="4">
        <f>SUM(O29:O46)</f>
        <v>55956.391304347824</v>
      </c>
      <c r="P47" s="4">
        <f>SUM(P29:P46)</f>
        <v>55956.391304347824</v>
      </c>
      <c r="Q47" s="4">
        <f>SUM(Q29:Q46)</f>
        <v>55956.391304347824</v>
      </c>
      <c r="R47" s="2"/>
      <c r="T47" s="97">
        <f t="shared" ref="T47" si="54">SUM(T27:T46)</f>
        <v>6173.913043478261</v>
      </c>
      <c r="U47" s="97">
        <f>SUM(U27:U46)</f>
        <v>67343.913043478256</v>
      </c>
      <c r="V47" s="97">
        <f>SUM(V27:V46)</f>
        <v>127088.91304347826</v>
      </c>
      <c r="W47" s="97">
        <f>SUM(W27:W46)</f>
        <v>191663.91304347827</v>
      </c>
      <c r="X47" s="97">
        <f>SUM(X27:X46)</f>
        <v>222913.91304347827</v>
      </c>
      <c r="Y47" s="97">
        <f>SUM(Y27:Y46)</f>
        <v>273904.91304347827</v>
      </c>
      <c r="Z47" s="97">
        <f t="shared" ref="Z47:AA47" si="55">SUM(Z27:Z46)</f>
        <v>291959.55217391305</v>
      </c>
      <c r="AA47" s="97">
        <f t="shared" si="55"/>
        <v>295314.19130434783</v>
      </c>
      <c r="AB47" s="97">
        <f t="shared" ref="AB47:AC47" si="56">SUM(AB27:AB46)</f>
        <v>298668.83043478261</v>
      </c>
      <c r="AC47" s="97">
        <f t="shared" si="56"/>
        <v>302023.46956521738</v>
      </c>
      <c r="AD47" s="97">
        <f t="shared" ref="AD47" si="57">SUM(AD27:AD46)</f>
        <v>299204.19565217395</v>
      </c>
      <c r="AF47" s="97">
        <f t="shared" ref="AF47:AN47" si="58">SUM(AF27:AF46)</f>
        <v>55565.217391304344</v>
      </c>
      <c r="AG47" s="97">
        <f>SUM(AG27:AG46)</f>
        <v>870671.30434782605</v>
      </c>
      <c r="AH47" s="97">
        <f>SUM(AH27:AH46)</f>
        <v>1732532.3913043479</v>
      </c>
      <c r="AI47" s="97">
        <f t="shared" si="58"/>
        <v>2532368.4782608696</v>
      </c>
      <c r="AJ47" s="97">
        <f>SUM(AJ27:AJ46)</f>
        <v>2934454.5652173911</v>
      </c>
      <c r="AK47" s="97">
        <f>SUM(AK27:AK46)</f>
        <v>3305369.6521739131</v>
      </c>
      <c r="AL47" s="97">
        <f t="shared" si="58"/>
        <v>3216366.4913043478</v>
      </c>
      <c r="AM47" s="97">
        <f t="shared" si="58"/>
        <v>2977008.6913043479</v>
      </c>
      <c r="AN47" s="97">
        <f t="shared" si="58"/>
        <v>2734296.2521739132</v>
      </c>
      <c r="AO47" s="97">
        <f t="shared" ref="AO47:AP47" si="59">SUM(AO27:AO46)</f>
        <v>2488229.1739130435</v>
      </c>
      <c r="AP47" s="97">
        <f t="shared" si="59"/>
        <v>2244981.3695652173</v>
      </c>
    </row>
    <row r="48" spans="3:42" ht="14" thickTop="1" x14ac:dyDescent="0.15">
      <c r="C48" s="85"/>
      <c r="G48" s="241"/>
      <c r="H48" s="241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42" x14ac:dyDescent="0.15">
      <c r="C49" s="51" t="s">
        <v>272</v>
      </c>
      <c r="G49" s="241"/>
      <c r="H49" s="241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42" x14ac:dyDescent="0.15">
      <c r="C50" t="s">
        <v>278</v>
      </c>
      <c r="E50" s="392">
        <v>10</v>
      </c>
      <c r="G50" s="242"/>
      <c r="H50" s="242"/>
      <c r="I50" s="55">
        <v>90000</v>
      </c>
      <c r="J50" s="55"/>
      <c r="K50" s="55"/>
      <c r="L50" s="55"/>
      <c r="M50" s="55"/>
      <c r="N50" s="55"/>
      <c r="O50" s="55"/>
      <c r="P50" s="55"/>
      <c r="Q50" s="55"/>
      <c r="R50" s="2"/>
      <c r="T50" s="6">
        <f>SUM($G50:G50)/$E50</f>
        <v>0</v>
      </c>
      <c r="U50" s="6">
        <f>SUM($G50:H50)/$E50</f>
        <v>0</v>
      </c>
      <c r="V50" s="6">
        <f>SUM($G50:I50)/$E50</f>
        <v>9000</v>
      </c>
      <c r="W50" s="6">
        <f>SUM($G50:J50)/$E50</f>
        <v>9000</v>
      </c>
      <c r="X50" s="6">
        <f>SUM($G50:K50)/$E50</f>
        <v>9000</v>
      </c>
      <c r="Y50" s="6">
        <f>SUM($G50:L50)/$E50</f>
        <v>9000</v>
      </c>
      <c r="Z50" s="6">
        <f>SUM($G50:M50)/$E50</f>
        <v>9000</v>
      </c>
      <c r="AA50" s="6">
        <f>SUM($G50:N50)/$E50</f>
        <v>9000</v>
      </c>
      <c r="AB50" s="6">
        <f>SUM($G50:O50)/$E50</f>
        <v>9000</v>
      </c>
      <c r="AC50" s="6">
        <f>SUM(G50:P50)/$E50</f>
        <v>9000</v>
      </c>
      <c r="AD50" s="6">
        <f t="shared" ref="AD50:AD53" si="60">SUM(H50:Q50)/$E50</f>
        <v>9000</v>
      </c>
      <c r="AF50" s="8">
        <f t="shared" ref="AF50:AF56" si="61">+G50-T50</f>
        <v>0</v>
      </c>
      <c r="AG50" s="8">
        <f t="shared" ref="AG50:AP52" si="62">AF50+H50-U50</f>
        <v>0</v>
      </c>
      <c r="AH50" s="8">
        <f t="shared" si="62"/>
        <v>81000</v>
      </c>
      <c r="AI50" s="8">
        <f t="shared" si="62"/>
        <v>72000</v>
      </c>
      <c r="AJ50" s="8">
        <f t="shared" si="62"/>
        <v>63000</v>
      </c>
      <c r="AK50" s="8">
        <f t="shared" si="62"/>
        <v>54000</v>
      </c>
      <c r="AL50" s="8">
        <f t="shared" si="62"/>
        <v>45000</v>
      </c>
      <c r="AM50" s="8">
        <f t="shared" si="62"/>
        <v>36000</v>
      </c>
      <c r="AN50" s="8">
        <f t="shared" si="62"/>
        <v>27000</v>
      </c>
      <c r="AO50" s="8">
        <f t="shared" si="62"/>
        <v>18000</v>
      </c>
      <c r="AP50" s="8">
        <f t="shared" si="62"/>
        <v>9000</v>
      </c>
    </row>
    <row r="51" spans="3:42" x14ac:dyDescent="0.15">
      <c r="C51" t="s">
        <v>279</v>
      </c>
      <c r="E51" s="392">
        <v>10</v>
      </c>
      <c r="G51" s="242"/>
      <c r="H51" s="242"/>
      <c r="I51" s="55"/>
      <c r="J51" s="55">
        <v>75000</v>
      </c>
      <c r="K51" s="55"/>
      <c r="L51" s="55"/>
      <c r="M51" s="55"/>
      <c r="N51" s="55"/>
      <c r="O51" s="55"/>
      <c r="P51" s="55"/>
      <c r="Q51" s="55"/>
      <c r="R51" s="48"/>
      <c r="S51" s="13"/>
      <c r="T51" s="6">
        <f>SUM($G51:G51)/$E51</f>
        <v>0</v>
      </c>
      <c r="U51" s="6">
        <f>SUM($G51:H51)/$E51</f>
        <v>0</v>
      </c>
      <c r="V51" s="6">
        <f>SUM($G51:I51)/$E51</f>
        <v>0</v>
      </c>
      <c r="W51" s="6">
        <f>SUM($G51:J51)/$E51</f>
        <v>7500</v>
      </c>
      <c r="X51" s="6">
        <f>SUM($G51:K51)/$E51</f>
        <v>7500</v>
      </c>
      <c r="Y51" s="6">
        <f>SUM($G51:L51)/$E51</f>
        <v>7500</v>
      </c>
      <c r="Z51" s="6">
        <f>SUM($G51:M51)/$E51</f>
        <v>7500</v>
      </c>
      <c r="AA51" s="6">
        <f>SUM($G51:N51)/$E51</f>
        <v>7500</v>
      </c>
      <c r="AB51" s="6">
        <f>SUM($G51:O51)/$E51</f>
        <v>7500</v>
      </c>
      <c r="AC51" s="6">
        <f>SUM(G51:P51)/$E51</f>
        <v>7500</v>
      </c>
      <c r="AD51" s="6">
        <f t="shared" si="60"/>
        <v>7500</v>
      </c>
      <c r="AF51" s="8">
        <f t="shared" si="61"/>
        <v>0</v>
      </c>
      <c r="AG51" s="8">
        <f t="shared" si="62"/>
        <v>0</v>
      </c>
      <c r="AH51" s="8">
        <f t="shared" si="62"/>
        <v>0</v>
      </c>
      <c r="AI51" s="8">
        <f t="shared" si="62"/>
        <v>67500</v>
      </c>
      <c r="AJ51" s="8">
        <f t="shared" si="62"/>
        <v>60000</v>
      </c>
      <c r="AK51" s="8">
        <f t="shared" si="62"/>
        <v>52500</v>
      </c>
      <c r="AL51" s="8">
        <f t="shared" si="62"/>
        <v>45000</v>
      </c>
      <c r="AM51" s="8">
        <f t="shared" si="62"/>
        <v>37500</v>
      </c>
      <c r="AN51" s="8">
        <f t="shared" si="62"/>
        <v>30000</v>
      </c>
      <c r="AO51" s="8">
        <f t="shared" si="62"/>
        <v>22500</v>
      </c>
      <c r="AP51" s="8">
        <f t="shared" si="62"/>
        <v>15000</v>
      </c>
    </row>
    <row r="52" spans="3:42" x14ac:dyDescent="0.15">
      <c r="C52" t="s">
        <v>280</v>
      </c>
      <c r="E52" s="392">
        <v>10</v>
      </c>
      <c r="G52" s="242"/>
      <c r="H52" s="242"/>
      <c r="I52" s="55"/>
      <c r="J52" s="55"/>
      <c r="K52" s="55">
        <v>75000</v>
      </c>
      <c r="L52" s="55"/>
      <c r="M52" s="55"/>
      <c r="N52" s="55"/>
      <c r="O52" s="55"/>
      <c r="P52" s="55"/>
      <c r="Q52" s="55"/>
      <c r="R52" s="49"/>
      <c r="S52" s="13"/>
      <c r="T52" s="6">
        <f>SUM($G52:G52)/$E52</f>
        <v>0</v>
      </c>
      <c r="U52" s="6">
        <f>SUM($G52:H52)/$E52</f>
        <v>0</v>
      </c>
      <c r="V52" s="6">
        <f>SUM($G52:I52)/$E52</f>
        <v>0</v>
      </c>
      <c r="W52" s="6">
        <f>SUM($G52:J52)/$E52</f>
        <v>0</v>
      </c>
      <c r="X52" s="6">
        <f>SUM($G52:K52)/$E52</f>
        <v>7500</v>
      </c>
      <c r="Y52" s="6">
        <f>SUM($G52:L52)/$E52</f>
        <v>7500</v>
      </c>
      <c r="Z52" s="6">
        <f>SUM($G52:M52)/$E52</f>
        <v>7500</v>
      </c>
      <c r="AA52" s="6">
        <f>SUM($G52:N52)/$E52</f>
        <v>7500</v>
      </c>
      <c r="AB52" s="6">
        <f>SUM($G52:O52)/$E52</f>
        <v>7500</v>
      </c>
      <c r="AC52" s="6">
        <f>SUM(G52:P52)/$E52</f>
        <v>7500</v>
      </c>
      <c r="AD52" s="6">
        <f t="shared" si="60"/>
        <v>7500</v>
      </c>
      <c r="AF52" s="8">
        <f t="shared" si="61"/>
        <v>0</v>
      </c>
      <c r="AG52" s="8">
        <f t="shared" si="62"/>
        <v>0</v>
      </c>
      <c r="AH52" s="8">
        <f t="shared" si="62"/>
        <v>0</v>
      </c>
      <c r="AI52" s="8">
        <f t="shared" si="62"/>
        <v>0</v>
      </c>
      <c r="AJ52" s="8">
        <f t="shared" si="62"/>
        <v>67500</v>
      </c>
      <c r="AK52" s="8">
        <f t="shared" si="62"/>
        <v>60000</v>
      </c>
      <c r="AL52" s="8">
        <f t="shared" si="62"/>
        <v>52500</v>
      </c>
      <c r="AM52" s="8">
        <f t="shared" si="62"/>
        <v>45000</v>
      </c>
      <c r="AN52" s="8">
        <f t="shared" si="62"/>
        <v>37500</v>
      </c>
      <c r="AO52" s="8">
        <f t="shared" si="62"/>
        <v>30000</v>
      </c>
      <c r="AP52" s="8">
        <f t="shared" si="62"/>
        <v>22500</v>
      </c>
    </row>
    <row r="53" spans="3:42" x14ac:dyDescent="0.15">
      <c r="C53" s="25" t="s">
        <v>331</v>
      </c>
      <c r="E53" s="392">
        <v>10</v>
      </c>
      <c r="F53" s="387"/>
      <c r="G53" s="242"/>
      <c r="H53" s="242"/>
      <c r="I53" s="55"/>
      <c r="J53" s="55"/>
      <c r="K53" s="55"/>
      <c r="L53" s="55">
        <v>75000</v>
      </c>
      <c r="M53" s="55"/>
      <c r="N53" s="55"/>
      <c r="O53" s="55"/>
      <c r="P53" s="55"/>
      <c r="Q53" s="55"/>
      <c r="R53" s="49"/>
      <c r="S53" s="13"/>
      <c r="T53" s="6">
        <f>SUM($G53:G53)/$E53</f>
        <v>0</v>
      </c>
      <c r="U53" s="6">
        <f>SUM($G53:H53)/$E53</f>
        <v>0</v>
      </c>
      <c r="V53" s="6">
        <f>SUM($G53:I53)/$E53</f>
        <v>0</v>
      </c>
      <c r="W53" s="6">
        <f>SUM($G53:J53)/$E53</f>
        <v>0</v>
      </c>
      <c r="X53" s="6">
        <f>SUM($G53:K53)/$E53</f>
        <v>0</v>
      </c>
      <c r="Y53" s="6">
        <f>SUM($G53:L53)/$E53</f>
        <v>7500</v>
      </c>
      <c r="Z53" s="6">
        <f>SUM($G53:M53)/$E53</f>
        <v>7500</v>
      </c>
      <c r="AA53" s="6">
        <f>SUM($G53:N53)/$E53</f>
        <v>7500</v>
      </c>
      <c r="AB53" s="6">
        <f>SUM($G53:O53)/$E53</f>
        <v>7500</v>
      </c>
      <c r="AC53" s="6">
        <f>SUM(G53:P53)/$E53</f>
        <v>7500</v>
      </c>
      <c r="AD53" s="6">
        <f t="shared" si="60"/>
        <v>7500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3:42" x14ac:dyDescent="0.15">
      <c r="D54" s="40"/>
      <c r="E54" s="392">
        <v>10</v>
      </c>
      <c r="G54" s="242"/>
      <c r="H54" s="242"/>
      <c r="I54" s="55"/>
      <c r="J54" s="55"/>
      <c r="K54" s="55"/>
      <c r="L54" s="55"/>
      <c r="M54" s="55"/>
      <c r="N54" s="55"/>
      <c r="O54" s="55"/>
      <c r="P54" s="55"/>
      <c r="Q54" s="55"/>
      <c r="R54" s="48"/>
      <c r="S54" s="13"/>
      <c r="T54" s="6">
        <f>SUM($G54:G54)/$E54</f>
        <v>0</v>
      </c>
      <c r="U54" s="6">
        <f>SUM($G54:H54)/$E54</f>
        <v>0</v>
      </c>
      <c r="V54" s="6">
        <f>SUM($G54:I54)/$E54</f>
        <v>0</v>
      </c>
      <c r="W54" s="6">
        <f>SUM($G54:J54)/$E54</f>
        <v>0</v>
      </c>
      <c r="X54" s="6">
        <f>SUM($G54:K54)/$E54</f>
        <v>0</v>
      </c>
      <c r="Y54" s="6">
        <f>SUM($G54:L54)/$E54</f>
        <v>0</v>
      </c>
      <c r="Z54" s="6">
        <f>SUM($G54:M54)/$E54</f>
        <v>0</v>
      </c>
      <c r="AA54" s="6">
        <f>SUM($G54:N54)/$E54</f>
        <v>0</v>
      </c>
      <c r="AB54" s="6">
        <f>SUM($G54:O54)/$E54</f>
        <v>0</v>
      </c>
      <c r="AC54" s="6">
        <f>SUM($G54:P54)/$E54</f>
        <v>0</v>
      </c>
      <c r="AD54" s="6">
        <f>SUM($G54:Q54)/$E54</f>
        <v>0</v>
      </c>
      <c r="AF54" s="8">
        <f t="shared" si="61"/>
        <v>0</v>
      </c>
      <c r="AG54" s="8">
        <f t="shared" ref="AG54:AP56" si="63">AF54+H54-U54</f>
        <v>0</v>
      </c>
      <c r="AH54" s="8">
        <f t="shared" si="63"/>
        <v>0</v>
      </c>
      <c r="AI54" s="8">
        <f t="shared" si="63"/>
        <v>0</v>
      </c>
      <c r="AJ54" s="8">
        <f t="shared" si="63"/>
        <v>0</v>
      </c>
      <c r="AK54" s="8">
        <f t="shared" si="63"/>
        <v>0</v>
      </c>
      <c r="AL54" s="8">
        <f t="shared" si="63"/>
        <v>0</v>
      </c>
      <c r="AM54" s="8">
        <f t="shared" si="63"/>
        <v>0</v>
      </c>
      <c r="AN54" s="8">
        <f t="shared" si="63"/>
        <v>0</v>
      </c>
      <c r="AO54" s="8">
        <f t="shared" si="63"/>
        <v>0</v>
      </c>
      <c r="AP54" s="8">
        <f t="shared" si="63"/>
        <v>0</v>
      </c>
    </row>
    <row r="55" spans="3:42" x14ac:dyDescent="0.15">
      <c r="C55" t="s">
        <v>281</v>
      </c>
      <c r="D55" s="40"/>
      <c r="E55" s="392">
        <v>10</v>
      </c>
      <c r="G55" s="242"/>
      <c r="H55" s="55">
        <f>(SUM('Base figures'!K75:K77)-SUM('Base figures'!I75:I77))*150</f>
        <v>14400</v>
      </c>
      <c r="I55" s="55">
        <f>(SUM('Base figures'!L75:L77)-SUM('Base figures'!K75:K77))*200</f>
        <v>41000</v>
      </c>
      <c r="J55" s="55">
        <f>(SUM('Base figures'!M75:M77)-SUM('Base figures'!L75:L77))*250</f>
        <v>115000</v>
      </c>
      <c r="K55" s="55">
        <f>(SUM('Base figures'!N75:N77)-SUM('Base figures'!M75:M77))*300</f>
        <v>138000</v>
      </c>
      <c r="L55" s="55">
        <f>(SUM('Base figures'!O75:O77)-SUM('Base figures'!N75:N77))*350</f>
        <v>129500</v>
      </c>
      <c r="M55" s="55"/>
      <c r="N55" s="55"/>
      <c r="O55" s="55"/>
      <c r="P55" s="55"/>
      <c r="Q55" s="55"/>
      <c r="R55" s="48"/>
      <c r="S55" s="13"/>
      <c r="T55" s="6">
        <f>SUM($G55:G55)/$E55</f>
        <v>0</v>
      </c>
      <c r="U55" s="6">
        <f>SUM($G55:H55)/$E55</f>
        <v>1440</v>
      </c>
      <c r="V55" s="6">
        <f>SUM($G55:I55)/$E55</f>
        <v>5540</v>
      </c>
      <c r="W55" s="6">
        <f>SUM($G55:J55)/$E55</f>
        <v>17040</v>
      </c>
      <c r="X55" s="6">
        <f>SUM($G55:K55)/$E55</f>
        <v>30840</v>
      </c>
      <c r="Y55" s="6">
        <f>SUM($G55:L55)/$E55</f>
        <v>43790</v>
      </c>
      <c r="Z55" s="6">
        <f>SUM($G55:M55)/$E55</f>
        <v>43790</v>
      </c>
      <c r="AA55" s="6">
        <f>SUM($G55:N55)/$E55</f>
        <v>43790</v>
      </c>
      <c r="AB55" s="6">
        <f>SUM($G55:O55)/$E55</f>
        <v>43790</v>
      </c>
      <c r="AC55" s="6">
        <f>SUM($G55:P55)/$E55</f>
        <v>43790</v>
      </c>
      <c r="AD55" s="6">
        <f>SUM($G55:Q55)/$E55</f>
        <v>43790</v>
      </c>
      <c r="AF55" s="8">
        <f t="shared" si="61"/>
        <v>0</v>
      </c>
      <c r="AG55" s="8">
        <f t="shared" si="63"/>
        <v>12960</v>
      </c>
      <c r="AH55" s="8">
        <f t="shared" si="63"/>
        <v>48420</v>
      </c>
      <c r="AI55" s="8">
        <f t="shared" si="63"/>
        <v>146380</v>
      </c>
      <c r="AJ55" s="8">
        <f t="shared" si="63"/>
        <v>253540</v>
      </c>
      <c r="AK55" s="8">
        <f t="shared" si="63"/>
        <v>339250</v>
      </c>
      <c r="AL55" s="8">
        <f t="shared" si="63"/>
        <v>295460</v>
      </c>
      <c r="AM55" s="8">
        <f t="shared" si="63"/>
        <v>251670</v>
      </c>
      <c r="AN55" s="8">
        <f t="shared" si="63"/>
        <v>207880</v>
      </c>
      <c r="AO55" s="8">
        <f t="shared" si="63"/>
        <v>164090</v>
      </c>
      <c r="AP55" s="8">
        <f t="shared" si="63"/>
        <v>120300</v>
      </c>
    </row>
    <row r="56" spans="3:42" x14ac:dyDescent="0.15">
      <c r="C56" t="s">
        <v>282</v>
      </c>
      <c r="D56" s="40"/>
      <c r="E56" s="392">
        <v>5</v>
      </c>
      <c r="G56" s="242"/>
      <c r="H56" s="242">
        <v>20000</v>
      </c>
      <c r="I56" s="242">
        <f>H56*1.1</f>
        <v>22000</v>
      </c>
      <c r="J56" s="242">
        <f>I56*1.1</f>
        <v>24200.000000000004</v>
      </c>
      <c r="K56" s="242">
        <f>J56*1.1</f>
        <v>26620.000000000007</v>
      </c>
      <c r="L56" s="242">
        <f>K56*1.1</f>
        <v>29282.000000000011</v>
      </c>
      <c r="M56" s="242">
        <v>30000</v>
      </c>
      <c r="N56" s="242">
        <v>30000</v>
      </c>
      <c r="O56" s="242">
        <v>30000</v>
      </c>
      <c r="P56" s="242">
        <v>30000</v>
      </c>
      <c r="Q56" s="242">
        <v>30000</v>
      </c>
      <c r="R56" s="48"/>
      <c r="S56" s="13"/>
      <c r="T56" s="6">
        <f>SUM($G56:G56)/$E56</f>
        <v>0</v>
      </c>
      <c r="U56" s="6">
        <f>SUM($G56:H56)/$E56</f>
        <v>4000</v>
      </c>
      <c r="V56" s="6">
        <f>SUM($G56:I56)/$E56</f>
        <v>8400</v>
      </c>
      <c r="W56" s="6">
        <f>SUM($G56:J56)/$E56</f>
        <v>13240</v>
      </c>
      <c r="X56" s="6">
        <f>SUM($G56:K56)/$E56</f>
        <v>18564</v>
      </c>
      <c r="Y56" s="6">
        <f t="shared" ref="Y56:AD56" si="64">SUM(H56:L56)/$E56</f>
        <v>24420.400000000001</v>
      </c>
      <c r="Z56" s="6">
        <f t="shared" si="64"/>
        <v>26420.400000000001</v>
      </c>
      <c r="AA56" s="6">
        <f t="shared" si="64"/>
        <v>28020.400000000005</v>
      </c>
      <c r="AB56" s="6">
        <f t="shared" si="64"/>
        <v>29180.400000000001</v>
      </c>
      <c r="AC56" s="6">
        <f t="shared" si="64"/>
        <v>29856.400000000001</v>
      </c>
      <c r="AD56" s="6">
        <f t="shared" si="64"/>
        <v>30000</v>
      </c>
      <c r="AF56" s="8">
        <f t="shared" si="61"/>
        <v>0</v>
      </c>
      <c r="AG56" s="8">
        <f t="shared" si="63"/>
        <v>16000</v>
      </c>
      <c r="AH56" s="8">
        <f t="shared" si="63"/>
        <v>29600</v>
      </c>
      <c r="AI56" s="8">
        <f t="shared" si="63"/>
        <v>40560</v>
      </c>
      <c r="AJ56" s="8">
        <f t="shared" si="63"/>
        <v>48616</v>
      </c>
      <c r="AK56" s="8">
        <f t="shared" si="63"/>
        <v>53477.600000000013</v>
      </c>
      <c r="AL56" s="8">
        <f t="shared" si="63"/>
        <v>57057.200000000004</v>
      </c>
      <c r="AM56" s="8">
        <f t="shared" si="63"/>
        <v>59036.800000000003</v>
      </c>
      <c r="AN56" s="8">
        <f t="shared" si="63"/>
        <v>59856.4</v>
      </c>
      <c r="AO56" s="8">
        <f t="shared" si="63"/>
        <v>59999.999999999993</v>
      </c>
      <c r="AP56" s="8">
        <f t="shared" si="63"/>
        <v>60000</v>
      </c>
    </row>
    <row r="57" spans="3:42" x14ac:dyDescent="0.15">
      <c r="D57" s="40"/>
      <c r="E57" s="392">
        <v>10</v>
      </c>
      <c r="G57" s="242"/>
      <c r="H57" s="242"/>
      <c r="I57" s="55"/>
      <c r="J57" s="55"/>
      <c r="K57" s="55"/>
      <c r="L57" s="55"/>
      <c r="M57" s="55"/>
      <c r="N57" s="55"/>
      <c r="O57" s="55"/>
      <c r="P57" s="55"/>
      <c r="Q57" s="55"/>
      <c r="R57" s="48"/>
      <c r="S57" s="13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3:42" hidden="1" x14ac:dyDescent="0.15">
      <c r="D58" s="40"/>
      <c r="E58" s="10">
        <v>8</v>
      </c>
      <c r="G58" s="242"/>
      <c r="H58" s="242"/>
      <c r="I58" s="55"/>
      <c r="J58" s="55"/>
      <c r="K58" s="55"/>
      <c r="L58" s="55"/>
      <c r="M58" s="55"/>
      <c r="N58" s="55"/>
      <c r="O58" s="55"/>
      <c r="P58" s="55"/>
      <c r="Q58" s="55"/>
      <c r="R58" s="48"/>
      <c r="S58" s="13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3:42" hidden="1" x14ac:dyDescent="0.15">
      <c r="D59" s="40"/>
      <c r="E59" s="10">
        <v>8</v>
      </c>
      <c r="G59" s="242"/>
      <c r="H59" s="242"/>
      <c r="I59" s="55"/>
      <c r="J59" s="55"/>
      <c r="K59" s="55"/>
      <c r="L59" s="55"/>
      <c r="M59" s="55"/>
      <c r="N59" s="55"/>
      <c r="O59" s="55"/>
      <c r="P59" s="55"/>
      <c r="Q59" s="55"/>
      <c r="R59" s="48"/>
      <c r="S59" s="13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3:42" hidden="1" x14ac:dyDescent="0.15">
      <c r="D60" s="40"/>
      <c r="E60" s="10">
        <v>8</v>
      </c>
      <c r="G60" s="242"/>
      <c r="H60" s="242"/>
      <c r="I60" s="55"/>
      <c r="J60" s="55"/>
      <c r="K60" s="55"/>
      <c r="L60" s="55"/>
      <c r="M60" s="55"/>
      <c r="N60" s="55"/>
      <c r="O60" s="55"/>
      <c r="P60" s="55"/>
      <c r="Q60" s="55"/>
      <c r="R60" s="48"/>
      <c r="S60" s="13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3:42" hidden="1" x14ac:dyDescent="0.15">
      <c r="D61" s="40"/>
      <c r="E61" s="10">
        <v>8</v>
      </c>
      <c r="G61" s="242"/>
      <c r="H61" s="242"/>
      <c r="I61" s="55"/>
      <c r="J61" s="55"/>
      <c r="K61" s="55"/>
      <c r="L61" s="55"/>
      <c r="M61" s="55"/>
      <c r="N61" s="55"/>
      <c r="O61" s="55"/>
      <c r="P61" s="55"/>
      <c r="Q61" s="55"/>
      <c r="R61" s="48"/>
      <c r="S61" s="13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3:42" hidden="1" x14ac:dyDescent="0.15">
      <c r="D62" s="40"/>
      <c r="E62" s="10">
        <v>8</v>
      </c>
      <c r="G62" s="242"/>
      <c r="H62" s="242"/>
      <c r="I62" s="55"/>
      <c r="J62" s="55"/>
      <c r="K62" s="55"/>
      <c r="L62" s="55"/>
      <c r="M62" s="55"/>
      <c r="N62" s="55"/>
      <c r="O62" s="55"/>
      <c r="P62" s="55"/>
      <c r="Q62" s="55"/>
      <c r="R62" s="48"/>
      <c r="S62" s="13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3:42" hidden="1" x14ac:dyDescent="0.15">
      <c r="D63" s="40"/>
      <c r="E63" s="10">
        <v>8</v>
      </c>
      <c r="G63" s="242"/>
      <c r="H63" s="242"/>
      <c r="I63" s="55"/>
      <c r="J63" s="55"/>
      <c r="K63" s="55"/>
      <c r="L63" s="55"/>
      <c r="M63" s="55"/>
      <c r="N63" s="55"/>
      <c r="O63" s="55"/>
      <c r="P63" s="55"/>
      <c r="Q63" s="55"/>
      <c r="R63" s="48"/>
      <c r="S63" s="13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3:42" hidden="1" x14ac:dyDescent="0.15">
      <c r="D64" s="40"/>
      <c r="E64" s="10">
        <v>8</v>
      </c>
      <c r="G64" s="242"/>
      <c r="H64" s="242"/>
      <c r="I64" s="55"/>
      <c r="J64" s="55"/>
      <c r="K64" s="55"/>
      <c r="L64" s="55"/>
      <c r="M64" s="55"/>
      <c r="N64" s="55"/>
      <c r="O64" s="55"/>
      <c r="P64" s="55"/>
      <c r="Q64" s="55"/>
      <c r="R64" s="2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3:42" hidden="1" x14ac:dyDescent="0.15">
      <c r="D65" s="40"/>
      <c r="E65" s="10">
        <v>8</v>
      </c>
      <c r="G65" s="242"/>
      <c r="H65" s="242"/>
      <c r="I65" s="55"/>
      <c r="J65" s="55"/>
      <c r="K65" s="55"/>
      <c r="L65" s="55"/>
      <c r="M65" s="55"/>
      <c r="N65" s="55"/>
      <c r="O65" s="55"/>
      <c r="P65" s="55"/>
      <c r="Q65" s="55"/>
      <c r="R65" s="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3:42" ht="14" thickBot="1" x14ac:dyDescent="0.2">
      <c r="C66" s="23"/>
      <c r="D66" s="40"/>
      <c r="G66" s="37">
        <f t="shared" ref="G66:O66" si="65">SUM(G50:G65)</f>
        <v>0</v>
      </c>
      <c r="H66" s="37">
        <f t="shared" si="65"/>
        <v>34400</v>
      </c>
      <c r="I66" s="4">
        <f>SUM(I50:I65)</f>
        <v>153000</v>
      </c>
      <c r="J66" s="4">
        <f t="shared" si="65"/>
        <v>214200</v>
      </c>
      <c r="K66" s="4">
        <f>SUM(K50:K65)</f>
        <v>239620</v>
      </c>
      <c r="L66" s="4">
        <f t="shared" si="65"/>
        <v>233782</v>
      </c>
      <c r="M66" s="4">
        <f t="shared" si="65"/>
        <v>30000</v>
      </c>
      <c r="N66" s="4">
        <f t="shared" si="65"/>
        <v>30000</v>
      </c>
      <c r="O66" s="4">
        <f t="shared" si="65"/>
        <v>30000</v>
      </c>
      <c r="P66" s="4">
        <f t="shared" ref="P66:Q66" si="66">SUM(P50:P65)</f>
        <v>30000</v>
      </c>
      <c r="Q66" s="4">
        <f t="shared" si="66"/>
        <v>30000</v>
      </c>
      <c r="R66" s="2"/>
      <c r="T66" s="97">
        <f>SUM(T50:T65)</f>
        <v>0</v>
      </c>
      <c r="U66" s="97">
        <f>SUM(U50:U65)</f>
        <v>5440</v>
      </c>
      <c r="V66" s="97">
        <f>SUM(V50:V65)</f>
        <v>22940</v>
      </c>
      <c r="W66" s="97">
        <f>SUM(W50:W65)</f>
        <v>46780</v>
      </c>
      <c r="X66" s="97">
        <f>SUM(X50:X65)</f>
        <v>73404</v>
      </c>
      <c r="Y66" s="97">
        <f t="shared" ref="Y66:Z66" si="67">SUM(Y50:Y65)</f>
        <v>99710.399999999994</v>
      </c>
      <c r="Z66" s="97">
        <f t="shared" si="67"/>
        <v>101710.39999999999</v>
      </c>
      <c r="AA66" s="97">
        <f t="shared" ref="AA66:AB66" si="68">SUM(AA50:AA65)</f>
        <v>103310.40000000001</v>
      </c>
      <c r="AB66" s="97">
        <f t="shared" si="68"/>
        <v>104470.39999999999</v>
      </c>
      <c r="AC66" s="97">
        <f t="shared" ref="AC66:AD66" si="69">SUM(AC50:AC65)</f>
        <v>105146.4</v>
      </c>
      <c r="AD66" s="97">
        <f t="shared" si="69"/>
        <v>105290</v>
      </c>
      <c r="AF66" s="97">
        <f t="shared" ref="AF66:AN66" si="70">SUM(AF50:AF65)</f>
        <v>0</v>
      </c>
      <c r="AG66" s="97">
        <f t="shared" si="70"/>
        <v>28960</v>
      </c>
      <c r="AH66" s="97">
        <f>SUM(AH50:AH65)</f>
        <v>159020</v>
      </c>
      <c r="AI66" s="97">
        <f t="shared" si="70"/>
        <v>326440</v>
      </c>
      <c r="AJ66" s="97">
        <f>SUM(AJ50:AJ65)</f>
        <v>492656</v>
      </c>
      <c r="AK66" s="97">
        <f t="shared" si="70"/>
        <v>559227.6</v>
      </c>
      <c r="AL66" s="97">
        <f t="shared" si="70"/>
        <v>495017.2</v>
      </c>
      <c r="AM66" s="97">
        <f t="shared" si="70"/>
        <v>429206.8</v>
      </c>
      <c r="AN66" s="97">
        <f t="shared" si="70"/>
        <v>362236.4</v>
      </c>
      <c r="AO66" s="97">
        <f t="shared" ref="AO66:AP66" si="71">SUM(AO50:AO65)</f>
        <v>294590</v>
      </c>
      <c r="AP66" s="97">
        <f t="shared" si="71"/>
        <v>226800</v>
      </c>
    </row>
    <row r="67" spans="3:42" ht="14" thickTop="1" x14ac:dyDescent="0.15">
      <c r="C67" s="23"/>
      <c r="D67" s="40"/>
      <c r="G67" s="241"/>
      <c r="H67" s="241"/>
      <c r="I67" s="2"/>
      <c r="J67" s="2"/>
      <c r="K67" s="2"/>
      <c r="L67" s="2"/>
      <c r="M67" s="2"/>
      <c r="N67" s="2"/>
      <c r="O67" s="2"/>
      <c r="P67" s="2"/>
      <c r="Q67" s="2"/>
      <c r="R67" s="2"/>
      <c r="T67" t="s">
        <v>324</v>
      </c>
    </row>
    <row r="68" spans="3:42" x14ac:dyDescent="0.15">
      <c r="C68" s="51" t="s">
        <v>148</v>
      </c>
      <c r="D68" s="40"/>
      <c r="G68" s="241"/>
      <c r="H68" s="241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42" x14ac:dyDescent="0.15">
      <c r="C69" t="s">
        <v>273</v>
      </c>
      <c r="D69" s="40"/>
      <c r="E69" s="10">
        <v>5</v>
      </c>
      <c r="G69" s="241"/>
      <c r="H69" s="241">
        <v>15000</v>
      </c>
      <c r="I69" s="243">
        <v>25000</v>
      </c>
      <c r="J69" s="241"/>
      <c r="K69" s="241">
        <v>25000</v>
      </c>
      <c r="L69" s="221"/>
      <c r="M69" s="241"/>
      <c r="N69" s="221"/>
      <c r="O69" s="221"/>
      <c r="P69" s="221"/>
      <c r="Q69" s="221"/>
      <c r="R69" s="2"/>
      <c r="T69" s="6">
        <f>SUM($G69:G69)/$E69</f>
        <v>0</v>
      </c>
      <c r="U69" s="6">
        <f>SUM($G69:H69)/$E69</f>
        <v>3000</v>
      </c>
      <c r="V69" s="6">
        <f>SUM($G69:I69)/$E69</f>
        <v>8000</v>
      </c>
      <c r="W69" s="6">
        <f>SUM($G69:J69)/$E69</f>
        <v>8000</v>
      </c>
      <c r="X69" s="6">
        <f t="shared" ref="X69:AD70" si="72">SUM(G69:K69)/$E69</f>
        <v>13000</v>
      </c>
      <c r="Y69" s="6">
        <f t="shared" si="72"/>
        <v>13000</v>
      </c>
      <c r="Z69" s="6">
        <f t="shared" si="72"/>
        <v>10000</v>
      </c>
      <c r="AA69" s="6">
        <f t="shared" si="72"/>
        <v>5000</v>
      </c>
      <c r="AB69" s="6">
        <f t="shared" si="72"/>
        <v>5000</v>
      </c>
      <c r="AC69" s="6">
        <f t="shared" si="72"/>
        <v>0</v>
      </c>
      <c r="AD69" s="6">
        <f t="shared" si="72"/>
        <v>0</v>
      </c>
      <c r="AF69" s="8">
        <f t="shared" ref="AF69:AF74" si="73">+G69-T69</f>
        <v>0</v>
      </c>
      <c r="AG69" s="8">
        <f t="shared" ref="AG69:AP74" si="74">AF69+H69-U69</f>
        <v>12000</v>
      </c>
      <c r="AH69" s="8">
        <f t="shared" si="74"/>
        <v>29000</v>
      </c>
      <c r="AI69" s="8">
        <f t="shared" si="74"/>
        <v>21000</v>
      </c>
      <c r="AJ69" s="8">
        <f t="shared" si="74"/>
        <v>33000</v>
      </c>
      <c r="AK69" s="8">
        <f t="shared" si="74"/>
        <v>20000</v>
      </c>
      <c r="AL69" s="8">
        <f t="shared" si="74"/>
        <v>10000</v>
      </c>
      <c r="AM69" s="8">
        <f t="shared" si="74"/>
        <v>5000</v>
      </c>
      <c r="AN69" s="8">
        <f t="shared" si="74"/>
        <v>0</v>
      </c>
      <c r="AO69" s="8">
        <f t="shared" si="74"/>
        <v>0</v>
      </c>
      <c r="AP69" s="8">
        <f t="shared" si="74"/>
        <v>0</v>
      </c>
    </row>
    <row r="70" spans="3:42" x14ac:dyDescent="0.15">
      <c r="C70" t="s">
        <v>260</v>
      </c>
      <c r="D70" s="40"/>
      <c r="E70" s="248">
        <v>5</v>
      </c>
      <c r="G70" s="245"/>
      <c r="H70" s="242">
        <v>3000</v>
      </c>
      <c r="I70" s="242">
        <v>3000</v>
      </c>
      <c r="J70" s="242">
        <v>1500</v>
      </c>
      <c r="K70" s="242">
        <v>1500</v>
      </c>
      <c r="L70" s="242">
        <v>1500</v>
      </c>
      <c r="M70" s="242">
        <v>1500</v>
      </c>
      <c r="N70" s="242">
        <v>1500</v>
      </c>
      <c r="O70" s="242">
        <v>1500</v>
      </c>
      <c r="P70" s="242">
        <v>1500</v>
      </c>
      <c r="Q70" s="242">
        <v>1500</v>
      </c>
      <c r="R70" s="2"/>
      <c r="T70" s="6">
        <f>SUM($G70:G70)/$E70</f>
        <v>0</v>
      </c>
      <c r="U70" s="6">
        <f>SUM($G70:H70)/$E70</f>
        <v>600</v>
      </c>
      <c r="V70" s="6">
        <f>SUM($G70:I70)/$E70</f>
        <v>1200</v>
      </c>
      <c r="W70" s="6">
        <f>SUM($G70:J70)/$E70</f>
        <v>1500</v>
      </c>
      <c r="X70" s="6">
        <f t="shared" si="72"/>
        <v>1800</v>
      </c>
      <c r="Y70" s="6">
        <f t="shared" si="72"/>
        <v>2100</v>
      </c>
      <c r="Z70" s="6">
        <f t="shared" si="72"/>
        <v>1800</v>
      </c>
      <c r="AA70" s="6">
        <f t="shared" si="72"/>
        <v>1500</v>
      </c>
      <c r="AB70" s="6">
        <f t="shared" si="72"/>
        <v>1500</v>
      </c>
      <c r="AC70" s="6">
        <f t="shared" si="72"/>
        <v>1500</v>
      </c>
      <c r="AD70" s="6">
        <f t="shared" si="72"/>
        <v>1500</v>
      </c>
      <c r="AF70" s="8">
        <f t="shared" si="73"/>
        <v>0</v>
      </c>
      <c r="AG70" s="8">
        <f t="shared" si="74"/>
        <v>2400</v>
      </c>
      <c r="AH70" s="8">
        <f t="shared" si="74"/>
        <v>4200</v>
      </c>
      <c r="AI70" s="8">
        <f t="shared" si="74"/>
        <v>4200</v>
      </c>
      <c r="AJ70" s="8">
        <f t="shared" si="74"/>
        <v>3900</v>
      </c>
      <c r="AK70" s="8">
        <f t="shared" si="74"/>
        <v>3300</v>
      </c>
      <c r="AL70" s="8">
        <f t="shared" si="74"/>
        <v>3000</v>
      </c>
      <c r="AM70" s="8">
        <f t="shared" si="74"/>
        <v>3000</v>
      </c>
      <c r="AN70" s="8">
        <f t="shared" si="74"/>
        <v>3000</v>
      </c>
      <c r="AO70" s="8">
        <f t="shared" si="74"/>
        <v>3000</v>
      </c>
      <c r="AP70" s="8">
        <f t="shared" si="74"/>
        <v>3000</v>
      </c>
    </row>
    <row r="71" spans="3:42" x14ac:dyDescent="0.15">
      <c r="D71" s="40"/>
      <c r="E71" s="248">
        <v>3</v>
      </c>
      <c r="G71" s="245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"/>
      <c r="T71" s="6">
        <f>SUM($G71:G71)/$E71</f>
        <v>0</v>
      </c>
      <c r="U71" s="6">
        <f>SUM($G71:H71)/$E71</f>
        <v>0</v>
      </c>
      <c r="V71" s="6">
        <f t="shared" ref="V71:AD71" si="75">SUM(G71:I71)/$E71</f>
        <v>0</v>
      </c>
      <c r="W71" s="6">
        <f t="shared" si="75"/>
        <v>0</v>
      </c>
      <c r="X71" s="6">
        <f t="shared" si="75"/>
        <v>0</v>
      </c>
      <c r="Y71" s="6">
        <f t="shared" si="75"/>
        <v>0</v>
      </c>
      <c r="Z71" s="6">
        <f t="shared" si="75"/>
        <v>0</v>
      </c>
      <c r="AA71" s="6">
        <f t="shared" si="75"/>
        <v>0</v>
      </c>
      <c r="AB71" s="6">
        <f t="shared" si="75"/>
        <v>0</v>
      </c>
      <c r="AC71" s="6">
        <f t="shared" si="75"/>
        <v>0</v>
      </c>
      <c r="AD71" s="6">
        <f t="shared" si="75"/>
        <v>0</v>
      </c>
      <c r="AF71" s="8">
        <f t="shared" si="73"/>
        <v>0</v>
      </c>
      <c r="AG71" s="8">
        <f t="shared" si="74"/>
        <v>0</v>
      </c>
      <c r="AH71" s="8">
        <f t="shared" si="74"/>
        <v>0</v>
      </c>
      <c r="AI71" s="8">
        <f t="shared" si="74"/>
        <v>0</v>
      </c>
      <c r="AJ71" s="8">
        <f t="shared" si="74"/>
        <v>0</v>
      </c>
      <c r="AK71" s="8">
        <f t="shared" si="74"/>
        <v>0</v>
      </c>
      <c r="AL71" s="8">
        <f t="shared" si="74"/>
        <v>0</v>
      </c>
      <c r="AM71" s="8">
        <f t="shared" si="74"/>
        <v>0</v>
      </c>
      <c r="AN71" s="8">
        <f t="shared" si="74"/>
        <v>0</v>
      </c>
      <c r="AO71" s="8">
        <f t="shared" si="74"/>
        <v>0</v>
      </c>
      <c r="AP71" s="8">
        <f t="shared" si="74"/>
        <v>0</v>
      </c>
    </row>
    <row r="72" spans="3:42" x14ac:dyDescent="0.15">
      <c r="C72" s="127"/>
      <c r="D72" s="40"/>
      <c r="E72" s="248">
        <v>5</v>
      </c>
      <c r="G72" s="242"/>
      <c r="H72" s="246"/>
      <c r="I72" s="258"/>
      <c r="J72" s="214"/>
      <c r="K72" s="214"/>
      <c r="L72" s="214"/>
      <c r="M72" s="214"/>
      <c r="N72" s="214"/>
      <c r="O72" s="214"/>
      <c r="P72" s="214"/>
      <c r="Q72" s="214"/>
      <c r="R72" s="2"/>
      <c r="T72" s="6">
        <f>SUM($G72:G72)/$E72</f>
        <v>0</v>
      </c>
      <c r="U72" s="6">
        <f>SUM($G72:H72)/$E72</f>
        <v>0</v>
      </c>
      <c r="V72" s="6">
        <f>SUM($G72:I72)/$E72</f>
        <v>0</v>
      </c>
      <c r="W72" s="6">
        <f>SUM($G72:J72)/$E72</f>
        <v>0</v>
      </c>
      <c r="X72" s="6">
        <f t="shared" ref="X72:AD74" si="76">SUM(G72:K72)/$E72</f>
        <v>0</v>
      </c>
      <c r="Y72" s="6">
        <f t="shared" si="76"/>
        <v>0</v>
      </c>
      <c r="Z72" s="6">
        <f t="shared" si="76"/>
        <v>0</v>
      </c>
      <c r="AA72" s="6">
        <f t="shared" si="76"/>
        <v>0</v>
      </c>
      <c r="AB72" s="6">
        <f t="shared" si="76"/>
        <v>0</v>
      </c>
      <c r="AC72" s="6">
        <f t="shared" si="76"/>
        <v>0</v>
      </c>
      <c r="AD72" s="6">
        <f t="shared" si="76"/>
        <v>0</v>
      </c>
      <c r="AF72" s="8">
        <f t="shared" si="73"/>
        <v>0</v>
      </c>
      <c r="AG72" s="8">
        <f t="shared" si="74"/>
        <v>0</v>
      </c>
      <c r="AH72" s="8">
        <f t="shared" si="74"/>
        <v>0</v>
      </c>
      <c r="AI72" s="8">
        <f t="shared" si="74"/>
        <v>0</v>
      </c>
      <c r="AJ72" s="8">
        <f t="shared" si="74"/>
        <v>0</v>
      </c>
      <c r="AK72" s="8">
        <f t="shared" si="74"/>
        <v>0</v>
      </c>
      <c r="AL72" s="8">
        <f t="shared" si="74"/>
        <v>0</v>
      </c>
      <c r="AM72" s="8">
        <f t="shared" si="74"/>
        <v>0</v>
      </c>
      <c r="AN72" s="8">
        <f t="shared" si="74"/>
        <v>0</v>
      </c>
      <c r="AO72" s="8">
        <f t="shared" si="74"/>
        <v>0</v>
      </c>
      <c r="AP72" s="8">
        <f t="shared" si="74"/>
        <v>0</v>
      </c>
    </row>
    <row r="73" spans="3:42" x14ac:dyDescent="0.15">
      <c r="C73" s="127"/>
      <c r="D73" s="40"/>
      <c r="E73" s="10">
        <v>5</v>
      </c>
      <c r="G73" s="25"/>
      <c r="H73" s="242"/>
      <c r="I73" s="214"/>
      <c r="J73" s="214"/>
      <c r="K73" s="214"/>
      <c r="L73" s="214"/>
      <c r="M73" s="214"/>
      <c r="N73" s="214"/>
      <c r="O73" s="214"/>
      <c r="P73" s="214"/>
      <c r="Q73" s="214"/>
      <c r="R73" s="2"/>
      <c r="T73" s="6">
        <f>SUM($G73:G73)/$E73</f>
        <v>0</v>
      </c>
      <c r="U73" s="6">
        <f>SUM($G73:H73)/$E73</f>
        <v>0</v>
      </c>
      <c r="V73" s="6">
        <f>SUM($G73:I73)/$E73</f>
        <v>0</v>
      </c>
      <c r="W73" s="6">
        <f>SUM($G73:J73)/$E73</f>
        <v>0</v>
      </c>
      <c r="X73" s="6">
        <f t="shared" si="76"/>
        <v>0</v>
      </c>
      <c r="Y73" s="6">
        <f t="shared" si="76"/>
        <v>0</v>
      </c>
      <c r="Z73" s="6">
        <f t="shared" si="76"/>
        <v>0</v>
      </c>
      <c r="AA73" s="6">
        <f t="shared" si="76"/>
        <v>0</v>
      </c>
      <c r="AB73" s="6">
        <f t="shared" si="76"/>
        <v>0</v>
      </c>
      <c r="AC73" s="6">
        <f t="shared" si="76"/>
        <v>0</v>
      </c>
      <c r="AD73" s="6">
        <f t="shared" si="76"/>
        <v>0</v>
      </c>
      <c r="AF73" s="8">
        <f t="shared" si="73"/>
        <v>0</v>
      </c>
      <c r="AG73" s="8">
        <f t="shared" si="74"/>
        <v>0</v>
      </c>
      <c r="AH73" s="8">
        <f t="shared" si="74"/>
        <v>0</v>
      </c>
      <c r="AI73" s="8">
        <f t="shared" si="74"/>
        <v>0</v>
      </c>
      <c r="AJ73" s="8">
        <f t="shared" si="74"/>
        <v>0</v>
      </c>
      <c r="AK73" s="8">
        <f t="shared" si="74"/>
        <v>0</v>
      </c>
      <c r="AL73" s="8">
        <f t="shared" si="74"/>
        <v>0</v>
      </c>
      <c r="AM73" s="8">
        <f t="shared" si="74"/>
        <v>0</v>
      </c>
      <c r="AN73" s="8">
        <f t="shared" si="74"/>
        <v>0</v>
      </c>
      <c r="AO73" s="8">
        <f t="shared" si="74"/>
        <v>0</v>
      </c>
      <c r="AP73" s="8">
        <f t="shared" si="74"/>
        <v>0</v>
      </c>
    </row>
    <row r="74" spans="3:42" x14ac:dyDescent="0.15">
      <c r="C74" s="127"/>
      <c r="D74" s="40"/>
      <c r="E74" s="10">
        <v>5</v>
      </c>
      <c r="G74" s="242"/>
      <c r="H74" s="242"/>
      <c r="I74" s="242"/>
      <c r="J74" s="214"/>
      <c r="K74" s="55"/>
      <c r="L74" s="214"/>
      <c r="M74" s="214"/>
      <c r="N74" s="214"/>
      <c r="O74" s="214"/>
      <c r="P74" s="214"/>
      <c r="Q74" s="214"/>
      <c r="R74" s="2"/>
      <c r="T74" s="6">
        <f>SUM($G74:G74)/$E74</f>
        <v>0</v>
      </c>
      <c r="U74" s="6">
        <f>SUM($G74:H74)/$E74</f>
        <v>0</v>
      </c>
      <c r="V74" s="6">
        <f>SUM($G74:I74)/$E74</f>
        <v>0</v>
      </c>
      <c r="W74" s="6">
        <f>SUM($G74:J74)/$E74</f>
        <v>0</v>
      </c>
      <c r="X74" s="6">
        <f t="shared" si="76"/>
        <v>0</v>
      </c>
      <c r="Y74" s="6">
        <f t="shared" si="76"/>
        <v>0</v>
      </c>
      <c r="Z74" s="6">
        <f t="shared" si="76"/>
        <v>0</v>
      </c>
      <c r="AA74" s="6">
        <f t="shared" si="76"/>
        <v>0</v>
      </c>
      <c r="AB74" s="6">
        <f t="shared" si="76"/>
        <v>0</v>
      </c>
      <c r="AC74" s="6">
        <f t="shared" si="76"/>
        <v>0</v>
      </c>
      <c r="AD74" s="6">
        <f t="shared" si="76"/>
        <v>0</v>
      </c>
      <c r="AF74" s="8">
        <f t="shared" si="73"/>
        <v>0</v>
      </c>
      <c r="AG74" s="8">
        <f t="shared" si="74"/>
        <v>0</v>
      </c>
      <c r="AH74" s="8">
        <f t="shared" si="74"/>
        <v>0</v>
      </c>
      <c r="AI74" s="8">
        <f t="shared" si="74"/>
        <v>0</v>
      </c>
      <c r="AJ74" s="8">
        <f t="shared" si="74"/>
        <v>0</v>
      </c>
      <c r="AK74" s="8">
        <f t="shared" si="74"/>
        <v>0</v>
      </c>
      <c r="AL74" s="8">
        <f t="shared" si="74"/>
        <v>0</v>
      </c>
      <c r="AM74" s="8">
        <f t="shared" si="74"/>
        <v>0</v>
      </c>
      <c r="AN74" s="8">
        <f t="shared" si="74"/>
        <v>0</v>
      </c>
      <c r="AO74" s="8">
        <f t="shared" si="74"/>
        <v>0</v>
      </c>
      <c r="AP74" s="8">
        <f t="shared" si="74"/>
        <v>0</v>
      </c>
    </row>
    <row r="75" spans="3:42" x14ac:dyDescent="0.15">
      <c r="C75" s="85"/>
      <c r="D75" s="40"/>
      <c r="E75" s="392">
        <v>5</v>
      </c>
      <c r="G75" s="242"/>
      <c r="H75" s="243"/>
      <c r="I75" s="214"/>
      <c r="J75" s="214"/>
      <c r="K75" s="214"/>
      <c r="L75" s="214"/>
      <c r="M75" s="214"/>
      <c r="N75" s="214"/>
      <c r="O75" s="214"/>
      <c r="P75" s="214"/>
      <c r="Q75" s="214"/>
      <c r="R75" s="2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3:42" ht="14" thickBot="1" x14ac:dyDescent="0.2">
      <c r="D76" s="40"/>
      <c r="G76" s="37">
        <f t="shared" ref="G76:O76" si="77">SUM(G68:G75)</f>
        <v>0</v>
      </c>
      <c r="H76" s="37">
        <f>SUM(H68:H75)</f>
        <v>18000</v>
      </c>
      <c r="I76" s="4">
        <f>SUM(I68:I75)</f>
        <v>28000</v>
      </c>
      <c r="J76" s="4">
        <f t="shared" si="77"/>
        <v>1500</v>
      </c>
      <c r="K76" s="4">
        <f>SUM(K68:K75)</f>
        <v>26500</v>
      </c>
      <c r="L76" s="4">
        <f t="shared" si="77"/>
        <v>1500</v>
      </c>
      <c r="M76" s="4">
        <f t="shared" si="77"/>
        <v>1500</v>
      </c>
      <c r="N76" s="4">
        <f t="shared" si="77"/>
        <v>1500</v>
      </c>
      <c r="O76" s="4">
        <f t="shared" si="77"/>
        <v>1500</v>
      </c>
      <c r="P76" s="4">
        <f t="shared" ref="P76:Q76" si="78">SUM(P68:P75)</f>
        <v>1500</v>
      </c>
      <c r="Q76" s="4">
        <f t="shared" si="78"/>
        <v>1500</v>
      </c>
      <c r="R76" s="2"/>
      <c r="T76" s="97">
        <f>+SUM(T69:T74)</f>
        <v>0</v>
      </c>
      <c r="U76" s="97">
        <f>+SUM(U69:U74)</f>
        <v>3600</v>
      </c>
      <c r="V76" s="97">
        <f>+SUM(V69:V74)</f>
        <v>9200</v>
      </c>
      <c r="W76" s="97">
        <f t="shared" ref="W76:AB76" si="79">+SUM(W69:W74)</f>
        <v>9500</v>
      </c>
      <c r="X76" s="97">
        <f t="shared" si="79"/>
        <v>14800</v>
      </c>
      <c r="Y76" s="97">
        <f t="shared" si="79"/>
        <v>15100</v>
      </c>
      <c r="Z76" s="97">
        <f t="shared" si="79"/>
        <v>11800</v>
      </c>
      <c r="AA76" s="97">
        <f t="shared" si="79"/>
        <v>6500</v>
      </c>
      <c r="AB76" s="97">
        <f t="shared" si="79"/>
        <v>6500</v>
      </c>
      <c r="AC76" s="97">
        <f t="shared" ref="AC76:AD76" si="80">+SUM(AC69:AC74)</f>
        <v>1500</v>
      </c>
      <c r="AD76" s="97">
        <f t="shared" si="80"/>
        <v>1500</v>
      </c>
      <c r="AF76" s="97">
        <f t="shared" ref="AF76:AK76" si="81">SUM(AF69:AF75)</f>
        <v>0</v>
      </c>
      <c r="AG76" s="97">
        <f t="shared" si="81"/>
        <v>14400</v>
      </c>
      <c r="AH76" s="97">
        <f>SUM(AH69:AH75)</f>
        <v>33200</v>
      </c>
      <c r="AI76" s="97">
        <f t="shared" si="81"/>
        <v>25200</v>
      </c>
      <c r="AJ76" s="97">
        <f>SUM(AJ69:AJ75)</f>
        <v>36900</v>
      </c>
      <c r="AK76" s="97">
        <f t="shared" si="81"/>
        <v>23300</v>
      </c>
      <c r="AL76" s="97">
        <f t="shared" ref="AL76:AN76" si="82">SUM(AL69:AL75)</f>
        <v>13000</v>
      </c>
      <c r="AM76" s="97">
        <f t="shared" si="82"/>
        <v>8000</v>
      </c>
      <c r="AN76" s="97">
        <f t="shared" si="82"/>
        <v>3000</v>
      </c>
      <c r="AO76" s="97">
        <f t="shared" ref="AO76:AP76" si="83">SUM(AO69:AO75)</f>
        <v>3000</v>
      </c>
      <c r="AP76" s="97">
        <f t="shared" si="83"/>
        <v>3000</v>
      </c>
    </row>
    <row r="77" spans="3:42" ht="14" thickTop="1" x14ac:dyDescent="0.15">
      <c r="D77" s="40"/>
      <c r="G77" s="241"/>
      <c r="H77" s="241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42" x14ac:dyDescent="0.15">
      <c r="C78" s="51" t="s">
        <v>147</v>
      </c>
      <c r="D78" s="40"/>
      <c r="G78" s="241"/>
      <c r="H78" s="241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42" x14ac:dyDescent="0.15">
      <c r="C79" s="129" t="s">
        <v>332</v>
      </c>
      <c r="D79" s="40"/>
      <c r="E79" s="10">
        <v>20</v>
      </c>
      <c r="G79" s="2"/>
      <c r="H79" s="2">
        <f t="shared" ref="H79:N79" si="84">SUM(H26,H47,H66,H76)*0.1</f>
        <v>104735</v>
      </c>
      <c r="I79" s="2">
        <f t="shared" si="84"/>
        <v>120745</v>
      </c>
      <c r="J79" s="2">
        <f t="shared" si="84"/>
        <v>123970</v>
      </c>
      <c r="K79" s="2">
        <f t="shared" si="84"/>
        <v>92362</v>
      </c>
      <c r="L79" s="2">
        <f t="shared" si="84"/>
        <v>90260.200000000012</v>
      </c>
      <c r="M79" s="2">
        <f t="shared" si="84"/>
        <v>24445.639130434785</v>
      </c>
      <c r="N79" s="2">
        <f t="shared" si="84"/>
        <v>9745.6391304347835</v>
      </c>
      <c r="O79" s="2">
        <f>SUM(O26,O47,O66,O76)*0.08</f>
        <v>7796.5113043478259</v>
      </c>
      <c r="P79" s="2">
        <f>SUM(P26,P47,P66,P76)*0.08</f>
        <v>7796.5113043478259</v>
      </c>
      <c r="Q79" s="2">
        <f>SUM(Q26,Q47,Q66,Q76)*0.08</f>
        <v>7796.5113043478259</v>
      </c>
      <c r="R79" s="2"/>
      <c r="T79" s="6">
        <f>SUM($G79:G79)/$E79</f>
        <v>0</v>
      </c>
      <c r="U79" s="6">
        <f>SUM($G79:H79)/$E79</f>
        <v>5236.75</v>
      </c>
      <c r="V79" s="6">
        <f>SUM($G79:I79)/$E79</f>
        <v>11274</v>
      </c>
      <c r="W79" s="6">
        <f>SUM($G79:J79)/$E79</f>
        <v>17472.5</v>
      </c>
      <c r="X79" s="6">
        <f>SUM($G79:K79)/$E79</f>
        <v>22090.6</v>
      </c>
      <c r="Y79" s="6">
        <f>SUM($G79:L79)/$E79</f>
        <v>26603.609999999997</v>
      </c>
      <c r="Z79" s="6">
        <f>SUM($G79:M79)/$E79</f>
        <v>27825.89195652174</v>
      </c>
      <c r="AA79" s="6">
        <f>SUM($G79:N79)/$E79</f>
        <v>28313.17391304348</v>
      </c>
      <c r="AB79" s="6">
        <f>SUM($G79:O79)/$E79</f>
        <v>28702.99947826087</v>
      </c>
      <c r="AC79" s="6">
        <f>SUM($G79:P79)/$E79</f>
        <v>29092.82504347826</v>
      </c>
      <c r="AD79" s="6">
        <f>SUM($G79:Q79)/$E79</f>
        <v>29482.650608695647</v>
      </c>
      <c r="AF79" s="8">
        <f>+G79-T79</f>
        <v>0</v>
      </c>
      <c r="AG79" s="8">
        <f t="shared" ref="AG79:AP80" si="85">AF79+H79-U79</f>
        <v>99498.25</v>
      </c>
      <c r="AH79" s="8">
        <f t="shared" si="85"/>
        <v>208969.25</v>
      </c>
      <c r="AI79" s="8">
        <f t="shared" si="85"/>
        <v>315466.75</v>
      </c>
      <c r="AJ79" s="8">
        <f>AI79+K79-X79</f>
        <v>385738.15</v>
      </c>
      <c r="AK79" s="8">
        <f t="shared" si="85"/>
        <v>449394.74000000005</v>
      </c>
      <c r="AL79" s="8">
        <f t="shared" si="85"/>
        <v>446014.4871739131</v>
      </c>
      <c r="AM79" s="8">
        <f t="shared" si="85"/>
        <v>427446.95239130442</v>
      </c>
      <c r="AN79" s="8">
        <f t="shared" si="85"/>
        <v>406540.46421739139</v>
      </c>
      <c r="AO79" s="8">
        <f t="shared" si="85"/>
        <v>385244.15047826094</v>
      </c>
      <c r="AP79" s="8">
        <f t="shared" si="85"/>
        <v>363558.01117391314</v>
      </c>
    </row>
    <row r="80" spans="3:42" x14ac:dyDescent="0.15">
      <c r="C80" s="127"/>
      <c r="D80" s="40"/>
      <c r="E80" s="10">
        <v>5</v>
      </c>
      <c r="G80" s="241"/>
      <c r="H80" s="246"/>
      <c r="I80" s="2"/>
      <c r="J80" s="2"/>
      <c r="K80" s="2"/>
      <c r="L80" s="2"/>
      <c r="M80" s="2"/>
      <c r="N80" s="2"/>
      <c r="O80" s="2"/>
      <c r="P80" s="2"/>
      <c r="Q80" s="2"/>
      <c r="R80" s="2"/>
      <c r="T80" s="224">
        <f>SUM($G80:G80)/$E80</f>
        <v>0</v>
      </c>
      <c r="U80" s="224">
        <f>H80</f>
        <v>0</v>
      </c>
      <c r="V80" s="6"/>
      <c r="W80" s="6"/>
      <c r="X80" s="6"/>
      <c r="Y80" s="224"/>
      <c r="Z80" s="224"/>
      <c r="AA80" s="224"/>
      <c r="AB80" s="224"/>
      <c r="AC80" s="224"/>
      <c r="AD80" s="224"/>
      <c r="AF80" s="8">
        <f>+G80-T80</f>
        <v>0</v>
      </c>
      <c r="AG80" s="8">
        <f t="shared" si="85"/>
        <v>0</v>
      </c>
      <c r="AH80" s="8">
        <f t="shared" si="85"/>
        <v>0</v>
      </c>
      <c r="AI80" s="8">
        <f t="shared" si="85"/>
        <v>0</v>
      </c>
      <c r="AJ80" s="8">
        <f t="shared" si="85"/>
        <v>0</v>
      </c>
      <c r="AK80" s="8">
        <f t="shared" si="85"/>
        <v>0</v>
      </c>
      <c r="AL80" s="8">
        <f t="shared" si="85"/>
        <v>0</v>
      </c>
      <c r="AM80" s="8">
        <f t="shared" si="85"/>
        <v>0</v>
      </c>
      <c r="AN80" s="8">
        <f t="shared" si="85"/>
        <v>0</v>
      </c>
      <c r="AO80" s="8">
        <f t="shared" si="85"/>
        <v>0</v>
      </c>
      <c r="AP80" s="8">
        <f t="shared" si="85"/>
        <v>0</v>
      </c>
    </row>
    <row r="81" spans="3:42" ht="14" thickBot="1" x14ac:dyDescent="0.2">
      <c r="C81" s="85"/>
      <c r="D81" s="40"/>
      <c r="G81" s="4">
        <f t="shared" ref="G81:O81" si="86">SUM(G79:G80)</f>
        <v>0</v>
      </c>
      <c r="H81" s="4">
        <f t="shared" si="86"/>
        <v>104735</v>
      </c>
      <c r="I81" s="4">
        <f>SUM(I79:I80)</f>
        <v>120745</v>
      </c>
      <c r="J81" s="4">
        <f t="shared" si="86"/>
        <v>123970</v>
      </c>
      <c r="K81" s="4">
        <f t="shared" si="86"/>
        <v>92362</v>
      </c>
      <c r="L81" s="4">
        <f t="shared" si="86"/>
        <v>90260.200000000012</v>
      </c>
      <c r="M81" s="4">
        <f t="shared" si="86"/>
        <v>24445.639130434785</v>
      </c>
      <c r="N81" s="4">
        <f t="shared" si="86"/>
        <v>9745.6391304347835</v>
      </c>
      <c r="O81" s="4">
        <f t="shared" si="86"/>
        <v>7796.5113043478259</v>
      </c>
      <c r="P81" s="4">
        <f t="shared" ref="P81:Q81" si="87">SUM(P79:P80)</f>
        <v>7796.5113043478259</v>
      </c>
      <c r="Q81" s="4">
        <f t="shared" si="87"/>
        <v>7796.5113043478259</v>
      </c>
      <c r="R81" s="2"/>
      <c r="T81" s="97">
        <f t="shared" ref="T81:Y81" si="88">SUM(T79:T80)</f>
        <v>0</v>
      </c>
      <c r="U81" s="97">
        <f>SUM(U79:U80)</f>
        <v>5236.75</v>
      </c>
      <c r="V81" s="97">
        <f t="shared" si="88"/>
        <v>11274</v>
      </c>
      <c r="W81" s="97">
        <f t="shared" si="88"/>
        <v>17472.5</v>
      </c>
      <c r="X81" s="97">
        <f t="shared" si="88"/>
        <v>22090.6</v>
      </c>
      <c r="Y81" s="97">
        <f t="shared" si="88"/>
        <v>26603.609999999997</v>
      </c>
      <c r="Z81" s="97">
        <f t="shared" ref="Z81:AA81" si="89">SUM(Z79:Z80)</f>
        <v>27825.89195652174</v>
      </c>
      <c r="AA81" s="97">
        <f t="shared" si="89"/>
        <v>28313.17391304348</v>
      </c>
      <c r="AB81" s="97">
        <f t="shared" ref="AB81:AC81" si="90">SUM(AB79:AB80)</f>
        <v>28702.99947826087</v>
      </c>
      <c r="AC81" s="97">
        <f t="shared" si="90"/>
        <v>29092.82504347826</v>
      </c>
      <c r="AD81" s="97">
        <f t="shared" ref="AD81" si="91">SUM(AD79:AD80)</f>
        <v>29482.650608695647</v>
      </c>
      <c r="AF81" s="97">
        <f t="shared" ref="AF81:AK81" si="92">SUM(AF79:AF80)</f>
        <v>0</v>
      </c>
      <c r="AG81" s="97">
        <f t="shared" si="92"/>
        <v>99498.25</v>
      </c>
      <c r="AH81" s="97">
        <f>SUM(AH79:AH80)</f>
        <v>208969.25</v>
      </c>
      <c r="AI81" s="97">
        <f t="shared" si="92"/>
        <v>315466.75</v>
      </c>
      <c r="AJ81" s="97">
        <f>SUM(AJ79:AJ80)</f>
        <v>385738.15</v>
      </c>
      <c r="AK81" s="97">
        <f t="shared" si="92"/>
        <v>449394.74000000005</v>
      </c>
      <c r="AL81" s="97">
        <f t="shared" ref="AL81:AN81" si="93">SUM(AL79:AL80)</f>
        <v>446014.4871739131</v>
      </c>
      <c r="AM81" s="97">
        <f t="shared" si="93"/>
        <v>427446.95239130442</v>
      </c>
      <c r="AN81" s="97">
        <f t="shared" si="93"/>
        <v>406540.46421739139</v>
      </c>
      <c r="AO81" s="97">
        <f t="shared" ref="AO81:AP81" si="94">SUM(AO79:AO80)</f>
        <v>385244.15047826094</v>
      </c>
      <c r="AP81" s="97">
        <f t="shared" si="94"/>
        <v>363558.01117391314</v>
      </c>
    </row>
    <row r="82" spans="3:42" ht="14" thickTop="1" x14ac:dyDescent="0.15">
      <c r="C82" s="85"/>
      <c r="D82" s="4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42" ht="14" thickBot="1" x14ac:dyDescent="0.2">
      <c r="G83" s="98">
        <f>G81+G76+G47+G26</f>
        <v>61739.130434782608</v>
      </c>
      <c r="H83" s="98">
        <f>H81+H76+H47+H26+H66</f>
        <v>1152085</v>
      </c>
      <c r="I83" s="98">
        <f>I81+I76+I47+I26+I66</f>
        <v>1328195</v>
      </c>
      <c r="J83" s="98">
        <f>J81+J76+J47+J26+J66</f>
        <v>1363670</v>
      </c>
      <c r="K83" s="98">
        <f t="shared" ref="K83:O83" si="95">K81+K76+K47+K26+K66</f>
        <v>1015982</v>
      </c>
      <c r="L83" s="98">
        <f>L81+L76+L47+L26+L66</f>
        <v>992862.2</v>
      </c>
      <c r="M83" s="98">
        <f t="shared" si="95"/>
        <v>268902.03043478262</v>
      </c>
      <c r="N83" s="98">
        <f t="shared" si="95"/>
        <v>107202.0304347826</v>
      </c>
      <c r="O83" s="98">
        <f t="shared" si="95"/>
        <v>105252.90260869564</v>
      </c>
      <c r="P83" s="98">
        <f t="shared" ref="P83:Q83" si="96">P81+P76+P47+P26+P66</f>
        <v>105252.90260869564</v>
      </c>
      <c r="Q83" s="98">
        <f t="shared" si="96"/>
        <v>105252.90260869564</v>
      </c>
      <c r="T83" s="98">
        <f>T81+T76+T66+T47+T26</f>
        <v>6173.913043478261</v>
      </c>
      <c r="U83" s="98">
        <f>U81+U76+U66+U47+U26</f>
        <v>84787.329710144928</v>
      </c>
      <c r="V83" s="98">
        <f>V81+V76+V47+V26+V66</f>
        <v>177169.57971014493</v>
      </c>
      <c r="W83" s="98">
        <f>W81+W76+W47+W26+W66</f>
        <v>275249.74637681164</v>
      </c>
      <c r="X83" s="98">
        <f t="shared" ref="X83:Y83" si="97">X81+X76+X47+X26+X66</f>
        <v>346208.51304347831</v>
      </c>
      <c r="Y83" s="98">
        <f t="shared" si="97"/>
        <v>430485.58971014491</v>
      </c>
      <c r="Z83" s="98">
        <f t="shared" ref="Z83:AA83" si="98">Z81+Z76+Z47+Z26+Z66</f>
        <v>447962.51079710142</v>
      </c>
      <c r="AA83" s="98">
        <f t="shared" si="98"/>
        <v>447604.43188405799</v>
      </c>
      <c r="AB83" s="98">
        <f t="shared" ref="AB83:AD83" si="99">AB81+AB76+AB47+AB26+AB66</f>
        <v>452008.89657971018</v>
      </c>
      <c r="AC83" s="98">
        <f t="shared" si="99"/>
        <v>450929.36127536232</v>
      </c>
      <c r="AD83" s="98">
        <f t="shared" si="99"/>
        <v>448643.51292753627</v>
      </c>
      <c r="AF83" s="98">
        <f>AF81+AF76+AF47+AF26+AF66</f>
        <v>55565.217391304344</v>
      </c>
      <c r="AG83" s="98">
        <f>AG81+AG76+AG47+AG26+AG66</f>
        <v>1122862.8876811594</v>
      </c>
      <c r="AH83" s="98">
        <f>AH81+AH76+AH47+AH26+AH66</f>
        <v>2273888.3079710146</v>
      </c>
      <c r="AI83" s="98">
        <f t="shared" ref="AI83:AN83" si="100">AI81+AI76+AI47+AI26+AI66</f>
        <v>3362308.5615942031</v>
      </c>
      <c r="AJ83" s="98">
        <f>AJ81+AJ76+AJ47+AJ26+AJ66</f>
        <v>4032082.0485507245</v>
      </c>
      <c r="AK83" s="98">
        <f t="shared" si="100"/>
        <v>4526958.6588405799</v>
      </c>
      <c r="AL83" s="98">
        <f t="shared" si="100"/>
        <v>4355398.1784782605</v>
      </c>
      <c r="AM83" s="98">
        <f t="shared" si="100"/>
        <v>4022495.7770289858</v>
      </c>
      <c r="AN83" s="98">
        <f t="shared" si="100"/>
        <v>3683239.7830579709</v>
      </c>
      <c r="AO83" s="98">
        <f t="shared" ref="AO83:AP83" si="101">AO81+AO76+AO47+AO26+AO66</f>
        <v>3345063.3243913045</v>
      </c>
      <c r="AP83" s="98">
        <f t="shared" si="101"/>
        <v>3009172.714072464</v>
      </c>
    </row>
    <row r="84" spans="3:42" ht="14" thickTop="1" x14ac:dyDescent="0.15">
      <c r="G84" s="8"/>
    </row>
    <row r="85" spans="3:42" x14ac:dyDescent="0.15">
      <c r="G85" s="8"/>
      <c r="T85" s="434"/>
      <c r="U85" s="434"/>
      <c r="V85" s="434"/>
      <c r="AF85" s="434"/>
      <c r="AG85" s="434"/>
      <c r="AH85" s="100"/>
      <c r="AI85" s="100"/>
    </row>
    <row r="86" spans="3:42" x14ac:dyDescent="0.15">
      <c r="H86" s="114"/>
      <c r="I86" s="8"/>
    </row>
    <row r="87" spans="3:42" x14ac:dyDescent="0.15">
      <c r="G87" s="193"/>
      <c r="AG87" s="114"/>
    </row>
    <row r="88" spans="3:42" x14ac:dyDescent="0.15">
      <c r="AG88" s="114"/>
    </row>
    <row r="90" spans="3:42" x14ac:dyDescent="0.15">
      <c r="G90" s="8"/>
      <c r="H90" s="8"/>
      <c r="T90" s="6"/>
    </row>
    <row r="91" spans="3:42" x14ac:dyDescent="0.15">
      <c r="H91" s="8"/>
      <c r="AG91" s="114"/>
    </row>
    <row r="93" spans="3:42" x14ac:dyDescent="0.15">
      <c r="H93" s="8"/>
    </row>
    <row r="94" spans="3:42" x14ac:dyDescent="0.15">
      <c r="G94" s="8"/>
    </row>
  </sheetData>
  <mergeCells count="4">
    <mergeCell ref="AF11:AH11"/>
    <mergeCell ref="AF85:AG85"/>
    <mergeCell ref="T11:V11"/>
    <mergeCell ref="T85:V85"/>
  </mergeCells>
  <phoneticPr fontId="5" type="noConversion"/>
  <pageMargins left="0.36" right="0.33" top="0.28000000000000003" bottom="0.4" header="0.21" footer="0.27"/>
  <pageSetup paperSize="9" scale="77" orientation="portrait" copies="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00B0F0"/>
    <pageSetUpPr fitToPage="1"/>
  </sheetPr>
  <dimension ref="A6:DQ78"/>
  <sheetViews>
    <sheetView showGridLines="0" view="pageBreakPreview" topLeftCell="A4" zoomScale="60" zoomScaleNormal="80" workbookViewId="0">
      <pane xSplit="2" ySplit="7" topLeftCell="C11" activePane="bottomRight" state="frozen"/>
      <selection activeCell="A4" sqref="A4"/>
      <selection pane="topRight" activeCell="C4" sqref="C4"/>
      <selection pane="bottomLeft" activeCell="A12" sqref="A12"/>
      <selection pane="bottomRight" activeCell="O74" sqref="A1:O74"/>
    </sheetView>
  </sheetViews>
  <sheetFormatPr baseColWidth="10" defaultColWidth="9.33203125" defaultRowHeight="14" x14ac:dyDescent="0.2"/>
  <cols>
    <col min="1" max="1" width="3.33203125" style="132" customWidth="1"/>
    <col min="2" max="2" width="29.1640625" style="132" customWidth="1"/>
    <col min="3" max="3" width="14.6640625" style="132" customWidth="1"/>
    <col min="4" max="4" width="14.33203125" style="132" bestFit="1" customWidth="1"/>
    <col min="5" max="6" width="14.1640625" style="132" customWidth="1"/>
    <col min="7" max="7" width="15" style="132" bestFit="1" customWidth="1"/>
    <col min="8" max="14" width="14.1640625" style="132" customWidth="1"/>
    <col min="15" max="15" width="13.83203125" style="132" bestFit="1" customWidth="1"/>
    <col min="16" max="16" width="15.6640625" style="132" bestFit="1" customWidth="1"/>
    <col min="17" max="18" width="15" style="132" bestFit="1" customWidth="1"/>
    <col min="19" max="21" width="14.1640625" style="132" customWidth="1"/>
    <col min="22" max="22" width="15.6640625" style="132" bestFit="1" customWidth="1"/>
    <col min="23" max="26" width="14.1640625" style="132" customWidth="1"/>
    <col min="27" max="28" width="15" style="132" bestFit="1" customWidth="1"/>
    <col min="29" max="33" width="14.1640625" style="132" bestFit="1" customWidth="1"/>
    <col min="34" max="34" width="15.6640625" style="132" bestFit="1" customWidth="1"/>
    <col min="35" max="50" width="14.1640625" style="132" bestFit="1" customWidth="1"/>
    <col min="51" max="51" width="13.1640625" style="132" bestFit="1" customWidth="1"/>
    <col min="52" max="52" width="15" style="132" bestFit="1" customWidth="1"/>
    <col min="53" max="53" width="13.1640625" style="132" bestFit="1" customWidth="1"/>
    <col min="54" max="54" width="12.33203125" style="132" bestFit="1" customWidth="1"/>
    <col min="55" max="63" width="13.33203125" style="132" bestFit="1" customWidth="1"/>
    <col min="64" max="64" width="15" style="133" bestFit="1" customWidth="1"/>
    <col min="65" max="66" width="15" style="132" bestFit="1" customWidth="1"/>
    <col min="67" max="75" width="9.33203125" style="132" bestFit="1" customWidth="1"/>
    <col min="76" max="76" width="11" style="132" bestFit="1" customWidth="1"/>
    <col min="77" max="88" width="9.33203125" style="132"/>
    <col min="89" max="89" width="10" style="132" bestFit="1" customWidth="1"/>
    <col min="90" max="101" width="9.33203125" style="132"/>
    <col min="102" max="102" width="10" style="132" bestFit="1" customWidth="1"/>
    <col min="103" max="114" width="9.33203125" style="132"/>
    <col min="115" max="118" width="10" style="132" bestFit="1" customWidth="1"/>
    <col min="119" max="120" width="10.6640625" style="132" bestFit="1" customWidth="1"/>
    <col min="121" max="16384" width="9.33203125" style="132"/>
  </cols>
  <sheetData>
    <row r="6" spans="1:66" ht="21" x14ac:dyDescent="0.25">
      <c r="A6" s="131"/>
    </row>
    <row r="8" spans="1:66" ht="16" x14ac:dyDescent="0.2">
      <c r="A8" s="169" t="s">
        <v>44</v>
      </c>
      <c r="B8" s="153"/>
      <c r="C8" s="15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</row>
    <row r="9" spans="1:66" s="189" customFormat="1" ht="16" x14ac:dyDescent="0.2">
      <c r="A9" s="186"/>
      <c r="B9" s="187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66"/>
    </row>
    <row r="10" spans="1:66" s="11" customFormat="1" ht="13" x14ac:dyDescent="0.15">
      <c r="C10" s="11">
        <v>2018</v>
      </c>
      <c r="D10" s="43" t="s">
        <v>53</v>
      </c>
      <c r="E10" s="43" t="s">
        <v>54</v>
      </c>
      <c r="F10" s="43" t="s">
        <v>55</v>
      </c>
      <c r="G10" s="43" t="s">
        <v>56</v>
      </c>
      <c r="H10" s="43" t="s">
        <v>57</v>
      </c>
      <c r="I10" s="43" t="s">
        <v>58</v>
      </c>
      <c r="J10" s="43" t="s">
        <v>59</v>
      </c>
      <c r="K10" s="43" t="s">
        <v>60</v>
      </c>
      <c r="L10" s="43" t="s">
        <v>61</v>
      </c>
      <c r="M10" s="43" t="s">
        <v>62</v>
      </c>
      <c r="N10" s="43" t="s">
        <v>63</v>
      </c>
      <c r="O10" s="43" t="s">
        <v>64</v>
      </c>
      <c r="P10" s="43" t="s">
        <v>65</v>
      </c>
      <c r="Q10" s="43" t="s">
        <v>66</v>
      </c>
      <c r="R10" s="43" t="s">
        <v>67</v>
      </c>
      <c r="S10" s="43" t="s">
        <v>68</v>
      </c>
      <c r="T10" s="43" t="s">
        <v>69</v>
      </c>
      <c r="U10" s="43" t="s">
        <v>70</v>
      </c>
      <c r="V10" s="43" t="s">
        <v>71</v>
      </c>
      <c r="W10" s="43" t="s">
        <v>72</v>
      </c>
      <c r="X10" s="43" t="s">
        <v>73</v>
      </c>
      <c r="Y10" s="43" t="s">
        <v>74</v>
      </c>
      <c r="Z10" s="43" t="s">
        <v>75</v>
      </c>
      <c r="AA10" s="43" t="s">
        <v>76</v>
      </c>
      <c r="AB10" s="43" t="s">
        <v>77</v>
      </c>
      <c r="AC10" s="43" t="s">
        <v>78</v>
      </c>
      <c r="AD10" s="43" t="s">
        <v>79</v>
      </c>
      <c r="AE10" s="43" t="s">
        <v>80</v>
      </c>
      <c r="AF10" s="43" t="s">
        <v>81</v>
      </c>
      <c r="AG10" s="43" t="s">
        <v>82</v>
      </c>
      <c r="AH10" s="43" t="s">
        <v>83</v>
      </c>
      <c r="AI10" s="43" t="s">
        <v>84</v>
      </c>
      <c r="AJ10" s="43" t="s">
        <v>85</v>
      </c>
      <c r="AK10" s="43" t="s">
        <v>86</v>
      </c>
      <c r="AL10" s="43" t="s">
        <v>87</v>
      </c>
      <c r="AM10" s="43" t="s">
        <v>88</v>
      </c>
      <c r="AN10" s="43" t="s">
        <v>89</v>
      </c>
      <c r="AO10" s="43" t="s">
        <v>90</v>
      </c>
      <c r="AP10" s="43" t="s">
        <v>91</v>
      </c>
      <c r="AQ10" s="43" t="s">
        <v>92</v>
      </c>
      <c r="AR10" s="43" t="s">
        <v>93</v>
      </c>
      <c r="AS10" s="43" t="s">
        <v>94</v>
      </c>
      <c r="AT10" s="43" t="s">
        <v>95</v>
      </c>
      <c r="AU10" s="43" t="s">
        <v>96</v>
      </c>
      <c r="AV10" s="43" t="s">
        <v>97</v>
      </c>
      <c r="AW10" s="43" t="s">
        <v>98</v>
      </c>
      <c r="AX10" s="43" t="s">
        <v>99</v>
      </c>
      <c r="AY10" s="43" t="s">
        <v>100</v>
      </c>
      <c r="AZ10" s="43" t="s">
        <v>101</v>
      </c>
      <c r="BA10" s="43" t="s">
        <v>102</v>
      </c>
      <c r="BB10" s="43" t="s">
        <v>103</v>
      </c>
      <c r="BC10" s="43" t="s">
        <v>104</v>
      </c>
      <c r="BD10" s="43" t="s">
        <v>105</v>
      </c>
      <c r="BE10" s="43" t="s">
        <v>106</v>
      </c>
      <c r="BF10" s="43" t="s">
        <v>107</v>
      </c>
      <c r="BG10" s="43" t="s">
        <v>108</v>
      </c>
      <c r="BH10" s="43" t="s">
        <v>109</v>
      </c>
      <c r="BI10" s="43" t="s">
        <v>110</v>
      </c>
      <c r="BJ10" s="43" t="s">
        <v>111</v>
      </c>
      <c r="BK10" s="43" t="s">
        <v>112</v>
      </c>
      <c r="BL10" s="11">
        <f>'P&amp;L Forecast'!K11</f>
        <v>2024</v>
      </c>
      <c r="BM10" s="11">
        <f>'P&amp;L Forecast'!L11</f>
        <v>2025</v>
      </c>
      <c r="BN10" s="11">
        <f>'P&amp;L Forecast'!M11</f>
        <v>2026</v>
      </c>
    </row>
    <row r="11" spans="1:66" x14ac:dyDescent="0.2">
      <c r="A11" s="135"/>
      <c r="B11" s="136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</row>
    <row r="12" spans="1:66" s="141" customFormat="1" x14ac:dyDescent="0.2">
      <c r="A12" s="138"/>
      <c r="B12" s="139" t="s">
        <v>45</v>
      </c>
      <c r="C12" s="414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33"/>
    </row>
    <row r="13" spans="1:66" s="141" customFormat="1" x14ac:dyDescent="0.2">
      <c r="A13" s="138"/>
      <c r="B13" s="142"/>
      <c r="C13" s="142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33"/>
    </row>
    <row r="14" spans="1:66" s="141" customFormat="1" x14ac:dyDescent="0.2">
      <c r="A14" s="138"/>
      <c r="B14" s="11" t="str">
        <f>'P&amp;L Forecast'!C13</f>
        <v>Turnover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</row>
    <row r="15" spans="1:66" s="141" customFormat="1" x14ac:dyDescent="0.2">
      <c r="A15" s="138"/>
      <c r="B15" s="112" t="str">
        <f>'P&amp;L Forecast'!C14</f>
        <v>On-grid - Feed in tariff</v>
      </c>
      <c r="C15" s="155"/>
      <c r="D15" s="155">
        <f>'P&amp;L Forecast'!$F14/12</f>
        <v>0</v>
      </c>
      <c r="E15" s="155">
        <f>'P&amp;L Forecast'!$F14/12</f>
        <v>0</v>
      </c>
      <c r="F15" s="155">
        <f>'P&amp;L Forecast'!$F14/12</f>
        <v>0</v>
      </c>
      <c r="G15" s="155">
        <f>'P&amp;L Forecast'!$F14/12</f>
        <v>0</v>
      </c>
      <c r="H15" s="155">
        <f>'P&amp;L Forecast'!$F14/12</f>
        <v>0</v>
      </c>
      <c r="I15" s="155">
        <f>'P&amp;L Forecast'!$F14/12</f>
        <v>0</v>
      </c>
      <c r="J15" s="155">
        <f>'P&amp;L Forecast'!$F14/12</f>
        <v>0</v>
      </c>
      <c r="K15" s="155">
        <f>'P&amp;L Forecast'!$F14/12</f>
        <v>0</v>
      </c>
      <c r="L15" s="155">
        <f>'P&amp;L Forecast'!$F14/12</f>
        <v>0</v>
      </c>
      <c r="M15" s="155">
        <f>'P&amp;L Forecast'!$F14/12</f>
        <v>0</v>
      </c>
      <c r="N15" s="155">
        <f>'P&amp;L Forecast'!$F14/12</f>
        <v>0</v>
      </c>
      <c r="O15" s="155">
        <f>'P&amp;L Forecast'!$F14/12</f>
        <v>0</v>
      </c>
      <c r="P15" s="155">
        <f>'P&amp;L Forecast'!$G14/12</f>
        <v>23277.732173913046</v>
      </c>
      <c r="Q15" s="155">
        <f>'P&amp;L Forecast'!$G14/12</f>
        <v>23277.732173913046</v>
      </c>
      <c r="R15" s="155">
        <f>'P&amp;L Forecast'!$G14/12</f>
        <v>23277.732173913046</v>
      </c>
      <c r="S15" s="155">
        <f>'P&amp;L Forecast'!$G14/12</f>
        <v>23277.732173913046</v>
      </c>
      <c r="T15" s="155">
        <f>'P&amp;L Forecast'!$G14/12</f>
        <v>23277.732173913046</v>
      </c>
      <c r="U15" s="155">
        <f>'P&amp;L Forecast'!$G14/12</f>
        <v>23277.732173913046</v>
      </c>
      <c r="V15" s="155">
        <f>'P&amp;L Forecast'!$G14/12</f>
        <v>23277.732173913046</v>
      </c>
      <c r="W15" s="155">
        <f>'P&amp;L Forecast'!$G14/12</f>
        <v>23277.732173913046</v>
      </c>
      <c r="X15" s="155">
        <f>'P&amp;L Forecast'!$G14/12</f>
        <v>23277.732173913046</v>
      </c>
      <c r="Y15" s="155">
        <f>'P&amp;L Forecast'!$G14/12</f>
        <v>23277.732173913046</v>
      </c>
      <c r="Z15" s="155">
        <f>'P&amp;L Forecast'!$G14/12</f>
        <v>23277.732173913046</v>
      </c>
      <c r="AA15" s="155">
        <f>'P&amp;L Forecast'!$G14/12</f>
        <v>23277.732173913046</v>
      </c>
      <c r="AB15" s="155">
        <f>'P&amp;L Forecast'!$H14/12</f>
        <v>45168.273913043486</v>
      </c>
      <c r="AC15" s="155">
        <f>'P&amp;L Forecast'!$H14/12</f>
        <v>45168.273913043486</v>
      </c>
      <c r="AD15" s="155">
        <f>'P&amp;L Forecast'!$H14/12</f>
        <v>45168.273913043486</v>
      </c>
      <c r="AE15" s="155">
        <f>'P&amp;L Forecast'!$H14/12</f>
        <v>45168.273913043486</v>
      </c>
      <c r="AF15" s="155">
        <f>'P&amp;L Forecast'!$H14/12</f>
        <v>45168.273913043486</v>
      </c>
      <c r="AG15" s="155">
        <f>'P&amp;L Forecast'!$H14/12</f>
        <v>45168.273913043486</v>
      </c>
      <c r="AH15" s="155">
        <f>'P&amp;L Forecast'!$H14/12</f>
        <v>45168.273913043486</v>
      </c>
      <c r="AI15" s="155">
        <f>'P&amp;L Forecast'!$H14/12</f>
        <v>45168.273913043486</v>
      </c>
      <c r="AJ15" s="155">
        <f>'P&amp;L Forecast'!$H14/12</f>
        <v>45168.273913043486</v>
      </c>
      <c r="AK15" s="155">
        <f>'P&amp;L Forecast'!$H14/12</f>
        <v>45168.273913043486</v>
      </c>
      <c r="AL15" s="155">
        <f>'P&amp;L Forecast'!$H14/12</f>
        <v>45168.273913043486</v>
      </c>
      <c r="AM15" s="155">
        <f>'P&amp;L Forecast'!$H14/12</f>
        <v>45168.273913043486</v>
      </c>
      <c r="AN15" s="155">
        <f>'P&amp;L Forecast'!$I14/12</f>
        <v>61680.231513043487</v>
      </c>
      <c r="AO15" s="155">
        <f>'P&amp;L Forecast'!$I14/12</f>
        <v>61680.231513043487</v>
      </c>
      <c r="AP15" s="155">
        <f>'P&amp;L Forecast'!$I14/12</f>
        <v>61680.231513043487</v>
      </c>
      <c r="AQ15" s="155">
        <f>'P&amp;L Forecast'!$I14/12</f>
        <v>61680.231513043487</v>
      </c>
      <c r="AR15" s="155">
        <f>'P&amp;L Forecast'!$I14/12</f>
        <v>61680.231513043487</v>
      </c>
      <c r="AS15" s="155">
        <f>'P&amp;L Forecast'!$I14/12</f>
        <v>61680.231513043487</v>
      </c>
      <c r="AT15" s="155">
        <f>'P&amp;L Forecast'!$I14/12</f>
        <v>61680.231513043487</v>
      </c>
      <c r="AU15" s="155">
        <f>'P&amp;L Forecast'!$I14/12</f>
        <v>61680.231513043487</v>
      </c>
      <c r="AV15" s="155">
        <f>'P&amp;L Forecast'!$I14/12</f>
        <v>61680.231513043487</v>
      </c>
      <c r="AW15" s="155">
        <f>'P&amp;L Forecast'!$I14/12</f>
        <v>61680.231513043487</v>
      </c>
      <c r="AX15" s="155">
        <f>'P&amp;L Forecast'!$I14/12</f>
        <v>61680.231513043487</v>
      </c>
      <c r="AY15" s="155">
        <f>'P&amp;L Forecast'!$I14/12</f>
        <v>61680.231513043487</v>
      </c>
      <c r="AZ15" s="155">
        <f>'P&amp;L Forecast'!$J14/12</f>
        <v>78519.109773913064</v>
      </c>
      <c r="BA15" s="155">
        <f>'P&amp;L Forecast'!$J14/12</f>
        <v>78519.109773913064</v>
      </c>
      <c r="BB15" s="155">
        <f>'P&amp;L Forecast'!$J14/12</f>
        <v>78519.109773913064</v>
      </c>
      <c r="BC15" s="155">
        <f>'P&amp;L Forecast'!$J14/12</f>
        <v>78519.109773913064</v>
      </c>
      <c r="BD15" s="155">
        <f>'P&amp;L Forecast'!$J14/12</f>
        <v>78519.109773913064</v>
      </c>
      <c r="BE15" s="155">
        <f>'P&amp;L Forecast'!$J14/12</f>
        <v>78519.109773913064</v>
      </c>
      <c r="BF15" s="155">
        <f>'P&amp;L Forecast'!$J14/12</f>
        <v>78519.109773913064</v>
      </c>
      <c r="BG15" s="155">
        <f>'P&amp;L Forecast'!$J14/12</f>
        <v>78519.109773913064</v>
      </c>
      <c r="BH15" s="155">
        <f>'P&amp;L Forecast'!$J14/12</f>
        <v>78519.109773913064</v>
      </c>
      <c r="BI15" s="155">
        <f>'P&amp;L Forecast'!$J14/12</f>
        <v>78519.109773913064</v>
      </c>
      <c r="BJ15" s="155">
        <f>'P&amp;L Forecast'!$J14/12</f>
        <v>78519.109773913064</v>
      </c>
      <c r="BK15" s="155">
        <f>'P&amp;L Forecast'!$J14/12</f>
        <v>78519.109773913064</v>
      </c>
      <c r="BL15" s="155">
        <f>'P&amp;L Forecast'!K14</f>
        <v>942229.31728695671</v>
      </c>
      <c r="BM15" s="155">
        <f>'P&amp;L Forecast'!L14</f>
        <v>942229.31728695671</v>
      </c>
      <c r="BN15" s="155">
        <f>'P&amp;L Forecast'!M14</f>
        <v>942229.31728695671</v>
      </c>
    </row>
    <row r="16" spans="1:66" s="141" customFormat="1" x14ac:dyDescent="0.2">
      <c r="A16" s="138"/>
      <c r="B16" s="112" t="str">
        <f>'P&amp;L Forecast'!C15</f>
        <v>Off grid - Connection fees</v>
      </c>
      <c r="C16" s="155">
        <f>+'P&amp;L Forecast'!D15</f>
        <v>0</v>
      </c>
      <c r="D16" s="155">
        <f>'P&amp;L Forecast'!$F15/12</f>
        <v>1351.4492753623188</v>
      </c>
      <c r="E16" s="155">
        <f>'P&amp;L Forecast'!$F15/12</f>
        <v>1351.4492753623188</v>
      </c>
      <c r="F16" s="155">
        <f>'P&amp;L Forecast'!$F15/12</f>
        <v>1351.4492753623188</v>
      </c>
      <c r="G16" s="155">
        <f>'P&amp;L Forecast'!$F15/12</f>
        <v>1351.4492753623188</v>
      </c>
      <c r="H16" s="155">
        <f>'P&amp;L Forecast'!$F15/12</f>
        <v>1351.4492753623188</v>
      </c>
      <c r="I16" s="155">
        <f>'P&amp;L Forecast'!$F15/12</f>
        <v>1351.4492753623188</v>
      </c>
      <c r="J16" s="155">
        <f>'P&amp;L Forecast'!$F15/12</f>
        <v>1351.4492753623188</v>
      </c>
      <c r="K16" s="155">
        <f>'P&amp;L Forecast'!$F15/12</f>
        <v>1351.4492753623188</v>
      </c>
      <c r="L16" s="155">
        <f>'P&amp;L Forecast'!$F15/12</f>
        <v>1351.4492753623188</v>
      </c>
      <c r="M16" s="155">
        <f>'P&amp;L Forecast'!$F15/12</f>
        <v>1351.4492753623188</v>
      </c>
      <c r="N16" s="155">
        <f>'P&amp;L Forecast'!$F15/12</f>
        <v>1351.4492753623188</v>
      </c>
      <c r="O16" s="155">
        <f>'P&amp;L Forecast'!$F15/12</f>
        <v>1351.4492753623188</v>
      </c>
      <c r="P16" s="155">
        <f>'P&amp;L Forecast'!$G15/12</f>
        <v>2536.231884057971</v>
      </c>
      <c r="Q16" s="155">
        <f>'P&amp;L Forecast'!$G15/12</f>
        <v>2536.231884057971</v>
      </c>
      <c r="R16" s="155">
        <f>'P&amp;L Forecast'!$G15/12</f>
        <v>2536.231884057971</v>
      </c>
      <c r="S16" s="155">
        <f>'P&amp;L Forecast'!$G15/12</f>
        <v>2536.231884057971</v>
      </c>
      <c r="T16" s="155">
        <f>'P&amp;L Forecast'!$G15/12</f>
        <v>2536.231884057971</v>
      </c>
      <c r="U16" s="155">
        <f>'P&amp;L Forecast'!$G15/12</f>
        <v>2536.231884057971</v>
      </c>
      <c r="V16" s="155">
        <f>'P&amp;L Forecast'!$G15/12</f>
        <v>2536.231884057971</v>
      </c>
      <c r="W16" s="155">
        <f>'P&amp;L Forecast'!$G15/12</f>
        <v>2536.231884057971</v>
      </c>
      <c r="X16" s="155">
        <f>'P&amp;L Forecast'!$G15/12</f>
        <v>2536.231884057971</v>
      </c>
      <c r="Y16" s="155">
        <f>'P&amp;L Forecast'!$G15/12</f>
        <v>2536.231884057971</v>
      </c>
      <c r="Z16" s="155">
        <f>'P&amp;L Forecast'!$G15/12</f>
        <v>2536.231884057971</v>
      </c>
      <c r="AA16" s="155">
        <f>'P&amp;L Forecast'!$G15/12</f>
        <v>2536.231884057971</v>
      </c>
      <c r="AB16" s="155">
        <f>'P&amp;L Forecast'!$H15/12</f>
        <v>5615.942028985507</v>
      </c>
      <c r="AC16" s="155">
        <f>'P&amp;L Forecast'!$H15/12</f>
        <v>5615.942028985507</v>
      </c>
      <c r="AD16" s="155">
        <f>'P&amp;L Forecast'!$H15/12</f>
        <v>5615.942028985507</v>
      </c>
      <c r="AE16" s="155">
        <f>'P&amp;L Forecast'!$H15/12</f>
        <v>5615.942028985507</v>
      </c>
      <c r="AF16" s="155">
        <f>'P&amp;L Forecast'!$H15/12</f>
        <v>5615.942028985507</v>
      </c>
      <c r="AG16" s="155">
        <f>'P&amp;L Forecast'!$H15/12</f>
        <v>5615.942028985507</v>
      </c>
      <c r="AH16" s="155">
        <f>'P&amp;L Forecast'!$H15/12</f>
        <v>5615.942028985507</v>
      </c>
      <c r="AI16" s="155">
        <f>'P&amp;L Forecast'!$H15/12</f>
        <v>5615.942028985507</v>
      </c>
      <c r="AJ16" s="155">
        <f>'P&amp;L Forecast'!$H15/12</f>
        <v>5615.942028985507</v>
      </c>
      <c r="AK16" s="155">
        <f>'P&amp;L Forecast'!$H15/12</f>
        <v>5615.942028985507</v>
      </c>
      <c r="AL16" s="155">
        <f>'P&amp;L Forecast'!$H15/12</f>
        <v>5615.942028985507</v>
      </c>
      <c r="AM16" s="155">
        <f>'P&amp;L Forecast'!$H15/12</f>
        <v>5615.942028985507</v>
      </c>
      <c r="AN16" s="155">
        <f>'P&amp;L Forecast'!$I15/12</f>
        <v>5615.942028985507</v>
      </c>
      <c r="AO16" s="155">
        <f>'P&amp;L Forecast'!$I15/12</f>
        <v>5615.942028985507</v>
      </c>
      <c r="AP16" s="155">
        <f>'P&amp;L Forecast'!$I15/12</f>
        <v>5615.942028985507</v>
      </c>
      <c r="AQ16" s="155">
        <f>'P&amp;L Forecast'!$I15/12</f>
        <v>5615.942028985507</v>
      </c>
      <c r="AR16" s="155">
        <f>'P&amp;L Forecast'!$I15/12</f>
        <v>5615.942028985507</v>
      </c>
      <c r="AS16" s="155">
        <f>'P&amp;L Forecast'!$I15/12</f>
        <v>5615.942028985507</v>
      </c>
      <c r="AT16" s="155">
        <f>'P&amp;L Forecast'!$I15/12</f>
        <v>5615.942028985507</v>
      </c>
      <c r="AU16" s="155">
        <f>'P&amp;L Forecast'!$I15/12</f>
        <v>5615.942028985507</v>
      </c>
      <c r="AV16" s="155">
        <f>'P&amp;L Forecast'!$I15/12</f>
        <v>5615.942028985507</v>
      </c>
      <c r="AW16" s="155">
        <f>'P&amp;L Forecast'!$I15/12</f>
        <v>5615.942028985507</v>
      </c>
      <c r="AX16" s="155">
        <f>'P&amp;L Forecast'!$I15/12</f>
        <v>5615.942028985507</v>
      </c>
      <c r="AY16" s="155">
        <f>'P&amp;L Forecast'!$I15/12</f>
        <v>5615.942028985507</v>
      </c>
      <c r="AZ16" s="155">
        <f>'P&amp;L Forecast'!$J15/12</f>
        <v>5253.623188405797</v>
      </c>
      <c r="BA16" s="155">
        <f>'P&amp;L Forecast'!$J15/12</f>
        <v>5253.623188405797</v>
      </c>
      <c r="BB16" s="155">
        <f>'P&amp;L Forecast'!$J15/12</f>
        <v>5253.623188405797</v>
      </c>
      <c r="BC16" s="155">
        <f>'P&amp;L Forecast'!$J15/12</f>
        <v>5253.623188405797</v>
      </c>
      <c r="BD16" s="155">
        <f>'P&amp;L Forecast'!$J15/12</f>
        <v>5253.623188405797</v>
      </c>
      <c r="BE16" s="155">
        <f>'P&amp;L Forecast'!$J15/12</f>
        <v>5253.623188405797</v>
      </c>
      <c r="BF16" s="155">
        <f>'P&amp;L Forecast'!$J15/12</f>
        <v>5253.623188405797</v>
      </c>
      <c r="BG16" s="155">
        <f>'P&amp;L Forecast'!$J15/12</f>
        <v>5253.623188405797</v>
      </c>
      <c r="BH16" s="155">
        <f>'P&amp;L Forecast'!$J15/12</f>
        <v>5253.623188405797</v>
      </c>
      <c r="BI16" s="155">
        <f>'P&amp;L Forecast'!$J15/12</f>
        <v>5253.623188405797</v>
      </c>
      <c r="BJ16" s="155">
        <f>'P&amp;L Forecast'!$J15/12</f>
        <v>5253.623188405797</v>
      </c>
      <c r="BK16" s="155">
        <f>'P&amp;L Forecast'!$J15/12</f>
        <v>5253.623188405797</v>
      </c>
      <c r="BL16" s="155">
        <f>'P&amp;L Forecast'!K15</f>
        <v>26086.956521739132</v>
      </c>
      <c r="BM16" s="155">
        <f>'P&amp;L Forecast'!L15</f>
        <v>0</v>
      </c>
      <c r="BN16" s="155">
        <f>'P&amp;L Forecast'!M15</f>
        <v>0</v>
      </c>
    </row>
    <row r="17" spans="1:66" s="141" customFormat="1" x14ac:dyDescent="0.2">
      <c r="A17" s="138"/>
      <c r="B17" s="112" t="str">
        <f>'P&amp;L Forecast'!C16</f>
        <v>Off grid - Direct sales</v>
      </c>
      <c r="C17" s="155">
        <f>+'P&amp;L Forecast'!D16</f>
        <v>4975.108695652174</v>
      </c>
      <c r="D17" s="155">
        <f>'P&amp;L Forecast'!$F16/12</f>
        <v>2603.804347826087</v>
      </c>
      <c r="E17" s="155">
        <f>'P&amp;L Forecast'!$F16/12</f>
        <v>2603.804347826087</v>
      </c>
      <c r="F17" s="155">
        <f>'P&amp;L Forecast'!$F16/12</f>
        <v>2603.804347826087</v>
      </c>
      <c r="G17" s="155">
        <f>'P&amp;L Forecast'!$F16/12</f>
        <v>2603.804347826087</v>
      </c>
      <c r="H17" s="155">
        <f>'P&amp;L Forecast'!$F16/12</f>
        <v>2603.804347826087</v>
      </c>
      <c r="I17" s="155">
        <f>'P&amp;L Forecast'!$F16/12</f>
        <v>2603.804347826087</v>
      </c>
      <c r="J17" s="155">
        <f>'P&amp;L Forecast'!$F16/12</f>
        <v>2603.804347826087</v>
      </c>
      <c r="K17" s="155">
        <f>'P&amp;L Forecast'!$F16/12</f>
        <v>2603.804347826087</v>
      </c>
      <c r="L17" s="155">
        <f>'P&amp;L Forecast'!$F16/12</f>
        <v>2603.804347826087</v>
      </c>
      <c r="M17" s="155">
        <f>'P&amp;L Forecast'!$F16/12</f>
        <v>2603.804347826087</v>
      </c>
      <c r="N17" s="155">
        <f>'P&amp;L Forecast'!$F16/12</f>
        <v>2603.804347826087</v>
      </c>
      <c r="O17" s="155">
        <f>'P&amp;L Forecast'!$F16/12</f>
        <v>2603.804347826087</v>
      </c>
      <c r="P17" s="155">
        <f>'P&amp;L Forecast'!$G16/12</f>
        <v>4971.5217391304359</v>
      </c>
      <c r="Q17" s="155">
        <f>'P&amp;L Forecast'!$G16/12</f>
        <v>4971.5217391304359</v>
      </c>
      <c r="R17" s="155">
        <f>'P&amp;L Forecast'!$G16/12</f>
        <v>4971.5217391304359</v>
      </c>
      <c r="S17" s="155">
        <f>'P&amp;L Forecast'!$G16/12</f>
        <v>4971.5217391304359</v>
      </c>
      <c r="T17" s="155">
        <f>'P&amp;L Forecast'!$G16/12</f>
        <v>4971.5217391304359</v>
      </c>
      <c r="U17" s="155">
        <f>'P&amp;L Forecast'!$G16/12</f>
        <v>4971.5217391304359</v>
      </c>
      <c r="V17" s="155">
        <f>'P&amp;L Forecast'!$G16/12</f>
        <v>4971.5217391304359</v>
      </c>
      <c r="W17" s="155">
        <f>'P&amp;L Forecast'!$G16/12</f>
        <v>4971.5217391304359</v>
      </c>
      <c r="X17" s="155">
        <f>'P&amp;L Forecast'!$G16/12</f>
        <v>4971.5217391304359</v>
      </c>
      <c r="Y17" s="155">
        <f>'P&amp;L Forecast'!$G16/12</f>
        <v>4971.5217391304359</v>
      </c>
      <c r="Z17" s="155">
        <f>'P&amp;L Forecast'!$G16/12</f>
        <v>4971.5217391304359</v>
      </c>
      <c r="AA17" s="155">
        <f>'P&amp;L Forecast'!$G16/12</f>
        <v>4971.5217391304359</v>
      </c>
      <c r="AB17" s="155">
        <f>'P&amp;L Forecast'!$H16/12</f>
        <v>9514.0956521739154</v>
      </c>
      <c r="AC17" s="155">
        <f>'P&amp;L Forecast'!$H16/12</f>
        <v>9514.0956521739154</v>
      </c>
      <c r="AD17" s="155">
        <f>'P&amp;L Forecast'!$H16/12</f>
        <v>9514.0956521739154</v>
      </c>
      <c r="AE17" s="155">
        <f>'P&amp;L Forecast'!$H16/12</f>
        <v>9514.0956521739154</v>
      </c>
      <c r="AF17" s="155">
        <f>'P&amp;L Forecast'!$H16/12</f>
        <v>9514.0956521739154</v>
      </c>
      <c r="AG17" s="155">
        <f>'P&amp;L Forecast'!$H16/12</f>
        <v>9514.0956521739154</v>
      </c>
      <c r="AH17" s="155">
        <f>'P&amp;L Forecast'!$H16/12</f>
        <v>9514.0956521739154</v>
      </c>
      <c r="AI17" s="155">
        <f>'P&amp;L Forecast'!$H16/12</f>
        <v>9514.0956521739154</v>
      </c>
      <c r="AJ17" s="155">
        <f>'P&amp;L Forecast'!$H16/12</f>
        <v>9514.0956521739154</v>
      </c>
      <c r="AK17" s="155">
        <f>'P&amp;L Forecast'!$H16/12</f>
        <v>9514.0956521739154</v>
      </c>
      <c r="AL17" s="155">
        <f>'P&amp;L Forecast'!$H16/12</f>
        <v>9514.0956521739154</v>
      </c>
      <c r="AM17" s="155">
        <f>'P&amp;L Forecast'!$H16/12</f>
        <v>9514.0956521739154</v>
      </c>
      <c r="AN17" s="155">
        <f>'P&amp;L Forecast'!$I16/12</f>
        <v>14057.594021739133</v>
      </c>
      <c r="AO17" s="155">
        <f>'P&amp;L Forecast'!$I16/12</f>
        <v>14057.594021739133</v>
      </c>
      <c r="AP17" s="155">
        <f>'P&amp;L Forecast'!$I16/12</f>
        <v>14057.594021739133</v>
      </c>
      <c r="AQ17" s="155">
        <f>'P&amp;L Forecast'!$I16/12</f>
        <v>14057.594021739133</v>
      </c>
      <c r="AR17" s="155">
        <f>'P&amp;L Forecast'!$I16/12</f>
        <v>14057.594021739133</v>
      </c>
      <c r="AS17" s="155">
        <f>'P&amp;L Forecast'!$I16/12</f>
        <v>14057.594021739133</v>
      </c>
      <c r="AT17" s="155">
        <f>'P&amp;L Forecast'!$I16/12</f>
        <v>14057.594021739133</v>
      </c>
      <c r="AU17" s="155">
        <f>'P&amp;L Forecast'!$I16/12</f>
        <v>14057.594021739133</v>
      </c>
      <c r="AV17" s="155">
        <f>'P&amp;L Forecast'!$I16/12</f>
        <v>14057.594021739133</v>
      </c>
      <c r="AW17" s="155">
        <f>'P&amp;L Forecast'!$I16/12</f>
        <v>14057.594021739133</v>
      </c>
      <c r="AX17" s="155">
        <f>'P&amp;L Forecast'!$I16/12</f>
        <v>14057.594021739133</v>
      </c>
      <c r="AY17" s="155">
        <f>'P&amp;L Forecast'!$I16/12</f>
        <v>14057.594021739133</v>
      </c>
      <c r="AZ17" s="155">
        <f>'P&amp;L Forecast'!$J16/12</f>
        <v>20083.598376358699</v>
      </c>
      <c r="BA17" s="155">
        <f>'P&amp;L Forecast'!$J16/12</f>
        <v>20083.598376358699</v>
      </c>
      <c r="BB17" s="155">
        <f>'P&amp;L Forecast'!$J16/12</f>
        <v>20083.598376358699</v>
      </c>
      <c r="BC17" s="155">
        <f>'P&amp;L Forecast'!$J16/12</f>
        <v>20083.598376358699</v>
      </c>
      <c r="BD17" s="155">
        <f>'P&amp;L Forecast'!$J16/12</f>
        <v>20083.598376358699</v>
      </c>
      <c r="BE17" s="155">
        <f>'P&amp;L Forecast'!$J16/12</f>
        <v>20083.598376358699</v>
      </c>
      <c r="BF17" s="155">
        <f>'P&amp;L Forecast'!$J16/12</f>
        <v>20083.598376358699</v>
      </c>
      <c r="BG17" s="155">
        <f>'P&amp;L Forecast'!$J16/12</f>
        <v>20083.598376358699</v>
      </c>
      <c r="BH17" s="155">
        <f>'P&amp;L Forecast'!$J16/12</f>
        <v>20083.598376358699</v>
      </c>
      <c r="BI17" s="155">
        <f>'P&amp;L Forecast'!$J16/12</f>
        <v>20083.598376358699</v>
      </c>
      <c r="BJ17" s="155">
        <f>'P&amp;L Forecast'!$J16/12</f>
        <v>20083.598376358699</v>
      </c>
      <c r="BK17" s="155">
        <f>'P&amp;L Forecast'!$J16/12</f>
        <v>20083.598376358699</v>
      </c>
      <c r="BL17" s="155">
        <f>'P&amp;L Forecast'!K16</f>
        <v>291857.84809239139</v>
      </c>
      <c r="BM17" s="155">
        <f>'P&amp;L Forecast'!L16</f>
        <v>306450.74049701099</v>
      </c>
      <c r="BN17" s="155">
        <f>'P&amp;L Forecast'!M16</f>
        <v>321773.27752186154</v>
      </c>
    </row>
    <row r="18" spans="1:66" s="141" customFormat="1" x14ac:dyDescent="0.2">
      <c r="A18" s="138"/>
      <c r="B18" s="112" t="str">
        <f>'P&amp;L Forecast'!C17</f>
        <v>Carbon credits</v>
      </c>
      <c r="C18" s="155"/>
      <c r="D18" s="155">
        <f>'P&amp;L Forecast'!$F17/12</f>
        <v>0</v>
      </c>
      <c r="E18" s="155">
        <f>'P&amp;L Forecast'!$F17/12</f>
        <v>0</v>
      </c>
      <c r="F18" s="155">
        <f>'P&amp;L Forecast'!$F17/12</f>
        <v>0</v>
      </c>
      <c r="G18" s="155">
        <f>'P&amp;L Forecast'!$F17/12</f>
        <v>0</v>
      </c>
      <c r="H18" s="155">
        <f>'P&amp;L Forecast'!$F17/12</f>
        <v>0</v>
      </c>
      <c r="I18" s="155">
        <f>'P&amp;L Forecast'!$F17/12</f>
        <v>0</v>
      </c>
      <c r="J18" s="155">
        <f>'P&amp;L Forecast'!$F17/12</f>
        <v>0</v>
      </c>
      <c r="K18" s="155">
        <f>'P&amp;L Forecast'!$F17/12</f>
        <v>0</v>
      </c>
      <c r="L18" s="155">
        <f>'P&amp;L Forecast'!$F17/12</f>
        <v>0</v>
      </c>
      <c r="M18" s="155">
        <f>'P&amp;L Forecast'!$F17/12</f>
        <v>0</v>
      </c>
      <c r="N18" s="155">
        <f>'P&amp;L Forecast'!$F17/12</f>
        <v>0</v>
      </c>
      <c r="O18" s="155">
        <f>'P&amp;L Forecast'!$F17/12</f>
        <v>0</v>
      </c>
      <c r="P18" s="155">
        <f>'P&amp;L Forecast'!$G17/12</f>
        <v>1137.9375</v>
      </c>
      <c r="Q18" s="155">
        <f>'P&amp;L Forecast'!$G17/12</f>
        <v>1137.9375</v>
      </c>
      <c r="R18" s="155">
        <f>'P&amp;L Forecast'!$G17/12</f>
        <v>1137.9375</v>
      </c>
      <c r="S18" s="155">
        <f>'P&amp;L Forecast'!$G17/12</f>
        <v>1137.9375</v>
      </c>
      <c r="T18" s="155">
        <f>'P&amp;L Forecast'!$G17/12</f>
        <v>1137.9375</v>
      </c>
      <c r="U18" s="155">
        <f>'P&amp;L Forecast'!$G17/12</f>
        <v>1137.9375</v>
      </c>
      <c r="V18" s="155">
        <f>'P&amp;L Forecast'!$G17/12</f>
        <v>1137.9375</v>
      </c>
      <c r="W18" s="155">
        <f>'P&amp;L Forecast'!$G17/12</f>
        <v>1137.9375</v>
      </c>
      <c r="X18" s="155">
        <f>'P&amp;L Forecast'!$G17/12</f>
        <v>1137.9375</v>
      </c>
      <c r="Y18" s="155">
        <f>'P&amp;L Forecast'!$G17/12</f>
        <v>1137.9375</v>
      </c>
      <c r="Z18" s="155">
        <f>'P&amp;L Forecast'!$G17/12</f>
        <v>1137.9375</v>
      </c>
      <c r="AA18" s="155">
        <f>'P&amp;L Forecast'!$G17/12</f>
        <v>1137.9375</v>
      </c>
      <c r="AB18" s="155">
        <f>'P&amp;L Forecast'!$H17/12</f>
        <v>2079.4166666666665</v>
      </c>
      <c r="AC18" s="155">
        <f>'P&amp;L Forecast'!$H17/12</f>
        <v>2079.4166666666665</v>
      </c>
      <c r="AD18" s="155">
        <f>'P&amp;L Forecast'!$H17/12</f>
        <v>2079.4166666666665</v>
      </c>
      <c r="AE18" s="155">
        <f>'P&amp;L Forecast'!$H17/12</f>
        <v>2079.4166666666665</v>
      </c>
      <c r="AF18" s="155">
        <f>'P&amp;L Forecast'!$H17/12</f>
        <v>2079.4166666666665</v>
      </c>
      <c r="AG18" s="155">
        <f>'P&amp;L Forecast'!$H17/12</f>
        <v>2079.4166666666665</v>
      </c>
      <c r="AH18" s="155">
        <f>'P&amp;L Forecast'!$H17/12</f>
        <v>2079.4166666666665</v>
      </c>
      <c r="AI18" s="155">
        <f>'P&amp;L Forecast'!$H17/12</f>
        <v>2079.4166666666665</v>
      </c>
      <c r="AJ18" s="155">
        <f>'P&amp;L Forecast'!$H17/12</f>
        <v>2079.4166666666665</v>
      </c>
      <c r="AK18" s="155">
        <f>'P&amp;L Forecast'!$H17/12</f>
        <v>2079.4166666666665</v>
      </c>
      <c r="AL18" s="155">
        <f>'P&amp;L Forecast'!$H17/12</f>
        <v>2079.4166666666665</v>
      </c>
      <c r="AM18" s="155">
        <f>'P&amp;L Forecast'!$H17/12</f>
        <v>2079.4166666666665</v>
      </c>
      <c r="AN18" s="155">
        <f>'P&amp;L Forecast'!$I17/12</f>
        <v>2876.8833333333332</v>
      </c>
      <c r="AO18" s="155">
        <f>'P&amp;L Forecast'!$I17/12</f>
        <v>2876.8833333333332</v>
      </c>
      <c r="AP18" s="155">
        <f>'P&amp;L Forecast'!$I17/12</f>
        <v>2876.8833333333332</v>
      </c>
      <c r="AQ18" s="155">
        <f>'P&amp;L Forecast'!$I17/12</f>
        <v>2876.8833333333332</v>
      </c>
      <c r="AR18" s="155">
        <f>'P&amp;L Forecast'!$I17/12</f>
        <v>2876.8833333333332</v>
      </c>
      <c r="AS18" s="155">
        <f>'P&amp;L Forecast'!$I17/12</f>
        <v>2876.8833333333332</v>
      </c>
      <c r="AT18" s="155">
        <f>'P&amp;L Forecast'!$I17/12</f>
        <v>2876.8833333333332</v>
      </c>
      <c r="AU18" s="155">
        <f>'P&amp;L Forecast'!$I17/12</f>
        <v>2876.8833333333332</v>
      </c>
      <c r="AV18" s="155">
        <f>'P&amp;L Forecast'!$I17/12</f>
        <v>2876.8833333333332</v>
      </c>
      <c r="AW18" s="155">
        <f>'P&amp;L Forecast'!$I17/12</f>
        <v>2876.8833333333332</v>
      </c>
      <c r="AX18" s="155">
        <f>'P&amp;L Forecast'!$I17/12</f>
        <v>2876.8833333333332</v>
      </c>
      <c r="AY18" s="155">
        <f>'P&amp;L Forecast'!$I17/12</f>
        <v>2876.8833333333332</v>
      </c>
      <c r="AZ18" s="155">
        <f>'P&amp;L Forecast'!$J17/12</f>
        <v>3932.3199999999997</v>
      </c>
      <c r="BA18" s="155">
        <f>'P&amp;L Forecast'!$J17/12</f>
        <v>3932.3199999999997</v>
      </c>
      <c r="BB18" s="155">
        <f>'P&amp;L Forecast'!$J17/12</f>
        <v>3932.3199999999997</v>
      </c>
      <c r="BC18" s="155">
        <f>'P&amp;L Forecast'!$J17/12</f>
        <v>3932.3199999999997</v>
      </c>
      <c r="BD18" s="155">
        <f>'P&amp;L Forecast'!$J17/12</f>
        <v>3932.3199999999997</v>
      </c>
      <c r="BE18" s="155">
        <f>'P&amp;L Forecast'!$J17/12</f>
        <v>3932.3199999999997</v>
      </c>
      <c r="BF18" s="155">
        <f>'P&amp;L Forecast'!$J17/12</f>
        <v>3932.3199999999997</v>
      </c>
      <c r="BG18" s="155">
        <f>'P&amp;L Forecast'!$J17/12</f>
        <v>3932.3199999999997</v>
      </c>
      <c r="BH18" s="155">
        <f>'P&amp;L Forecast'!$J17/12</f>
        <v>3932.3199999999997</v>
      </c>
      <c r="BI18" s="155">
        <f>'P&amp;L Forecast'!$J17/12</f>
        <v>3932.3199999999997</v>
      </c>
      <c r="BJ18" s="155">
        <f>'P&amp;L Forecast'!$J17/12</f>
        <v>3932.3199999999997</v>
      </c>
      <c r="BK18" s="155">
        <f>'P&amp;L Forecast'!$J17/12</f>
        <v>3932.3199999999997</v>
      </c>
      <c r="BL18" s="155">
        <f>'P&amp;L Forecast'!K17</f>
        <v>47187.839999999997</v>
      </c>
      <c r="BM18" s="155">
        <f>'P&amp;L Forecast'!L17</f>
        <v>47187.839999999997</v>
      </c>
      <c r="BN18" s="155">
        <f>'P&amp;L Forecast'!M17</f>
        <v>47187.839999999997</v>
      </c>
    </row>
    <row r="19" spans="1:66" s="141" customFormat="1" x14ac:dyDescent="0.2">
      <c r="A19" s="138"/>
      <c r="B19" s="112" t="str">
        <f>'P&amp;L Forecast'!C18</f>
        <v>Grants</v>
      </c>
      <c r="C19" s="155">
        <f>'P&amp;L Forecast'!D18</f>
        <v>32173.91304347826</v>
      </c>
      <c r="D19" s="155">
        <f>'P&amp;L Forecast'!$F18/12</f>
        <v>8333.3333333333339</v>
      </c>
      <c r="E19" s="155">
        <f>'P&amp;L Forecast'!$F18/12</f>
        <v>8333.3333333333339</v>
      </c>
      <c r="F19" s="155">
        <f>'P&amp;L Forecast'!$F18/12</f>
        <v>8333.3333333333339</v>
      </c>
      <c r="G19" s="155">
        <f>'P&amp;L Forecast'!$F18/12</f>
        <v>8333.3333333333339</v>
      </c>
      <c r="H19" s="155">
        <f>'P&amp;L Forecast'!$F18/12</f>
        <v>8333.3333333333339</v>
      </c>
      <c r="I19" s="155">
        <f>'P&amp;L Forecast'!$F18/12</f>
        <v>8333.3333333333339</v>
      </c>
      <c r="J19" s="155">
        <f>'P&amp;L Forecast'!$F18/12</f>
        <v>8333.3333333333339</v>
      </c>
      <c r="K19" s="155">
        <f>'P&amp;L Forecast'!$F18/12</f>
        <v>8333.3333333333339</v>
      </c>
      <c r="L19" s="155">
        <f>'P&amp;L Forecast'!$F18/12</f>
        <v>8333.3333333333339</v>
      </c>
      <c r="M19" s="155">
        <f>'P&amp;L Forecast'!$F18/12</f>
        <v>8333.3333333333339</v>
      </c>
      <c r="N19" s="155">
        <f>'P&amp;L Forecast'!$F18/12</f>
        <v>8333.3333333333339</v>
      </c>
      <c r="O19" s="155">
        <f>'P&amp;L Forecast'!$F18/12</f>
        <v>8333.3333333333339</v>
      </c>
      <c r="P19" s="155">
        <f>'P&amp;L Forecast'!$G18/12</f>
        <v>12500</v>
      </c>
      <c r="Q19" s="155">
        <f>'P&amp;L Forecast'!$G18/12</f>
        <v>12500</v>
      </c>
      <c r="R19" s="155">
        <f>'P&amp;L Forecast'!$G18/12</f>
        <v>12500</v>
      </c>
      <c r="S19" s="155">
        <f>'P&amp;L Forecast'!$G18/12</f>
        <v>12500</v>
      </c>
      <c r="T19" s="155">
        <f>'P&amp;L Forecast'!$G18/12</f>
        <v>12500</v>
      </c>
      <c r="U19" s="155">
        <f>'P&amp;L Forecast'!$G18/12</f>
        <v>12500</v>
      </c>
      <c r="V19" s="155">
        <f>'P&amp;L Forecast'!$G18/12</f>
        <v>12500</v>
      </c>
      <c r="W19" s="155">
        <f>'P&amp;L Forecast'!$G18/12</f>
        <v>12500</v>
      </c>
      <c r="X19" s="155">
        <f>'P&amp;L Forecast'!$G18/12</f>
        <v>12500</v>
      </c>
      <c r="Y19" s="155">
        <f>'P&amp;L Forecast'!$G18/12</f>
        <v>12500</v>
      </c>
      <c r="Z19" s="155">
        <f>'P&amp;L Forecast'!$G18/12</f>
        <v>12500</v>
      </c>
      <c r="AA19" s="155">
        <f>'P&amp;L Forecast'!$G18/12</f>
        <v>12500</v>
      </c>
      <c r="AB19" s="155">
        <f>'P&amp;L Forecast'!$H18/12</f>
        <v>12500</v>
      </c>
      <c r="AC19" s="155">
        <f>'P&amp;L Forecast'!$H18/12</f>
        <v>12500</v>
      </c>
      <c r="AD19" s="155">
        <f>'P&amp;L Forecast'!$H18/12</f>
        <v>12500</v>
      </c>
      <c r="AE19" s="155">
        <f>'P&amp;L Forecast'!$H18/12</f>
        <v>12500</v>
      </c>
      <c r="AF19" s="155">
        <f>'P&amp;L Forecast'!$H18/12</f>
        <v>12500</v>
      </c>
      <c r="AG19" s="155">
        <f>'P&amp;L Forecast'!$H18/12</f>
        <v>12500</v>
      </c>
      <c r="AH19" s="155">
        <f>'P&amp;L Forecast'!$H18/12</f>
        <v>12500</v>
      </c>
      <c r="AI19" s="155">
        <f>'P&amp;L Forecast'!$H18/12</f>
        <v>12500</v>
      </c>
      <c r="AJ19" s="155">
        <f>'P&amp;L Forecast'!$H18/12</f>
        <v>12500</v>
      </c>
      <c r="AK19" s="155">
        <f>'P&amp;L Forecast'!$H18/12</f>
        <v>12500</v>
      </c>
      <c r="AL19" s="155">
        <f>'P&amp;L Forecast'!$H18/12</f>
        <v>12500</v>
      </c>
      <c r="AM19" s="155">
        <f>'P&amp;L Forecast'!$H18/12</f>
        <v>12500</v>
      </c>
      <c r="AN19" s="155">
        <f>'P&amp;L Forecast'!$I18/12</f>
        <v>0</v>
      </c>
      <c r="AO19" s="155">
        <f>'P&amp;L Forecast'!$I18/12</f>
        <v>0</v>
      </c>
      <c r="AP19" s="155">
        <f>'P&amp;L Forecast'!$I18/12</f>
        <v>0</v>
      </c>
      <c r="AQ19" s="155">
        <f>'P&amp;L Forecast'!$I18/12</f>
        <v>0</v>
      </c>
      <c r="AR19" s="155">
        <f>'P&amp;L Forecast'!$I18/12</f>
        <v>0</v>
      </c>
      <c r="AS19" s="155">
        <f>'P&amp;L Forecast'!$I18/12</f>
        <v>0</v>
      </c>
      <c r="AT19" s="155">
        <f>'P&amp;L Forecast'!$I18/12</f>
        <v>0</v>
      </c>
      <c r="AU19" s="155">
        <f>'P&amp;L Forecast'!$I18/12</f>
        <v>0</v>
      </c>
      <c r="AV19" s="155">
        <f>'P&amp;L Forecast'!$I18/12</f>
        <v>0</v>
      </c>
      <c r="AW19" s="155">
        <f>'P&amp;L Forecast'!$I18/12</f>
        <v>0</v>
      </c>
      <c r="AX19" s="155">
        <f>'P&amp;L Forecast'!$I18/12</f>
        <v>0</v>
      </c>
      <c r="AY19" s="155">
        <f>'P&amp;L Forecast'!$I18/12</f>
        <v>0</v>
      </c>
      <c r="AZ19" s="155">
        <f>'P&amp;L Forecast'!$J18/12</f>
        <v>0</v>
      </c>
      <c r="BA19" s="155">
        <f>'P&amp;L Forecast'!$J18/12</f>
        <v>0</v>
      </c>
      <c r="BB19" s="155">
        <f>'P&amp;L Forecast'!$J18/12</f>
        <v>0</v>
      </c>
      <c r="BC19" s="155">
        <f>'P&amp;L Forecast'!$J18/12</f>
        <v>0</v>
      </c>
      <c r="BD19" s="155">
        <f>'P&amp;L Forecast'!$J18/12</f>
        <v>0</v>
      </c>
      <c r="BE19" s="155">
        <f>'P&amp;L Forecast'!$J18/12</f>
        <v>0</v>
      </c>
      <c r="BF19" s="155">
        <f>'P&amp;L Forecast'!$J18/12</f>
        <v>0</v>
      </c>
      <c r="BG19" s="155">
        <f>'P&amp;L Forecast'!$J18/12</f>
        <v>0</v>
      </c>
      <c r="BH19" s="155">
        <f>'P&amp;L Forecast'!$J18/12</f>
        <v>0</v>
      </c>
      <c r="BI19" s="155">
        <f>'P&amp;L Forecast'!$J18/12</f>
        <v>0</v>
      </c>
      <c r="BJ19" s="155">
        <f>'P&amp;L Forecast'!$J18/12</f>
        <v>0</v>
      </c>
      <c r="BK19" s="155">
        <f>'P&amp;L Forecast'!$J18/12</f>
        <v>0</v>
      </c>
      <c r="BL19" s="155">
        <f>'P&amp;L Forecast'!K18</f>
        <v>0</v>
      </c>
      <c r="BM19" s="155">
        <f>'P&amp;L Forecast'!L18</f>
        <v>0</v>
      </c>
      <c r="BN19" s="155">
        <f>'P&amp;L Forecast'!M18</f>
        <v>0</v>
      </c>
    </row>
    <row r="20" spans="1:66" s="141" customFormat="1" x14ac:dyDescent="0.2">
      <c r="A20" s="138"/>
      <c r="B20" s="112"/>
      <c r="C20" s="112"/>
      <c r="D20" s="140"/>
      <c r="E20" s="140"/>
      <c r="F20" s="140"/>
      <c r="G20" s="140"/>
      <c r="H20" s="140"/>
      <c r="I20" s="140"/>
      <c r="J20" s="140"/>
      <c r="K20" s="140"/>
      <c r="L20" s="154"/>
      <c r="M20" s="154"/>
      <c r="N20" s="154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43"/>
    </row>
    <row r="21" spans="1:66" s="141" customFormat="1" x14ac:dyDescent="0.2">
      <c r="A21" s="138"/>
      <c r="B21" s="86" t="s">
        <v>113</v>
      </c>
      <c r="C21" s="156">
        <f>SUM(C15:C20)</f>
        <v>37149.021739130432</v>
      </c>
      <c r="D21" s="156">
        <f t="shared" ref="D21:BN21" si="0">SUM(D15:D20)</f>
        <v>12288.58695652174</v>
      </c>
      <c r="E21" s="156">
        <f t="shared" si="0"/>
        <v>12288.58695652174</v>
      </c>
      <c r="F21" s="156">
        <f t="shared" si="0"/>
        <v>12288.58695652174</v>
      </c>
      <c r="G21" s="156">
        <f t="shared" si="0"/>
        <v>12288.58695652174</v>
      </c>
      <c r="H21" s="156">
        <f t="shared" si="0"/>
        <v>12288.58695652174</v>
      </c>
      <c r="I21" s="156">
        <f t="shared" si="0"/>
        <v>12288.58695652174</v>
      </c>
      <c r="J21" s="156">
        <f t="shared" si="0"/>
        <v>12288.58695652174</v>
      </c>
      <c r="K21" s="156">
        <f t="shared" si="0"/>
        <v>12288.58695652174</v>
      </c>
      <c r="L21" s="156">
        <f t="shared" si="0"/>
        <v>12288.58695652174</v>
      </c>
      <c r="M21" s="156">
        <f t="shared" si="0"/>
        <v>12288.58695652174</v>
      </c>
      <c r="N21" s="156">
        <f t="shared" si="0"/>
        <v>12288.58695652174</v>
      </c>
      <c r="O21" s="156">
        <f t="shared" si="0"/>
        <v>12288.58695652174</v>
      </c>
      <c r="P21" s="156">
        <f t="shared" si="0"/>
        <v>44423.423297101457</v>
      </c>
      <c r="Q21" s="156">
        <f t="shared" si="0"/>
        <v>44423.423297101457</v>
      </c>
      <c r="R21" s="156">
        <f t="shared" si="0"/>
        <v>44423.423297101457</v>
      </c>
      <c r="S21" s="156">
        <f t="shared" si="0"/>
        <v>44423.423297101457</v>
      </c>
      <c r="T21" s="156">
        <f t="shared" si="0"/>
        <v>44423.423297101457</v>
      </c>
      <c r="U21" s="156">
        <f t="shared" si="0"/>
        <v>44423.423297101457</v>
      </c>
      <c r="V21" s="156">
        <f t="shared" si="0"/>
        <v>44423.423297101457</v>
      </c>
      <c r="W21" s="156">
        <f t="shared" si="0"/>
        <v>44423.423297101457</v>
      </c>
      <c r="X21" s="156">
        <f t="shared" si="0"/>
        <v>44423.423297101457</v>
      </c>
      <c r="Y21" s="156">
        <f t="shared" si="0"/>
        <v>44423.423297101457</v>
      </c>
      <c r="Z21" s="156">
        <f t="shared" si="0"/>
        <v>44423.423297101457</v>
      </c>
      <c r="AA21" s="156">
        <f t="shared" si="0"/>
        <v>44423.423297101457</v>
      </c>
      <c r="AB21" s="156">
        <f t="shared" si="0"/>
        <v>74877.728260869568</v>
      </c>
      <c r="AC21" s="156">
        <f t="shared" si="0"/>
        <v>74877.728260869568</v>
      </c>
      <c r="AD21" s="156">
        <f t="shared" si="0"/>
        <v>74877.728260869568</v>
      </c>
      <c r="AE21" s="156">
        <f t="shared" si="0"/>
        <v>74877.728260869568</v>
      </c>
      <c r="AF21" s="156">
        <f t="shared" si="0"/>
        <v>74877.728260869568</v>
      </c>
      <c r="AG21" s="156">
        <f t="shared" si="0"/>
        <v>74877.728260869568</v>
      </c>
      <c r="AH21" s="156">
        <f t="shared" si="0"/>
        <v>74877.728260869568</v>
      </c>
      <c r="AI21" s="156">
        <f t="shared" si="0"/>
        <v>74877.728260869568</v>
      </c>
      <c r="AJ21" s="156">
        <f t="shared" si="0"/>
        <v>74877.728260869568</v>
      </c>
      <c r="AK21" s="156">
        <f t="shared" si="0"/>
        <v>74877.728260869568</v>
      </c>
      <c r="AL21" s="156">
        <f t="shared" si="0"/>
        <v>74877.728260869568</v>
      </c>
      <c r="AM21" s="156">
        <f t="shared" si="0"/>
        <v>74877.728260869568</v>
      </c>
      <c r="AN21" s="156">
        <f t="shared" si="0"/>
        <v>84230.650897101455</v>
      </c>
      <c r="AO21" s="156">
        <f t="shared" si="0"/>
        <v>84230.650897101455</v>
      </c>
      <c r="AP21" s="156">
        <f t="shared" si="0"/>
        <v>84230.650897101455</v>
      </c>
      <c r="AQ21" s="156">
        <f t="shared" si="0"/>
        <v>84230.650897101455</v>
      </c>
      <c r="AR21" s="156">
        <f t="shared" si="0"/>
        <v>84230.650897101455</v>
      </c>
      <c r="AS21" s="156">
        <f t="shared" si="0"/>
        <v>84230.650897101455</v>
      </c>
      <c r="AT21" s="156">
        <f t="shared" si="0"/>
        <v>84230.650897101455</v>
      </c>
      <c r="AU21" s="156">
        <f t="shared" si="0"/>
        <v>84230.650897101455</v>
      </c>
      <c r="AV21" s="156">
        <f t="shared" si="0"/>
        <v>84230.650897101455</v>
      </c>
      <c r="AW21" s="156">
        <f t="shared" si="0"/>
        <v>84230.650897101455</v>
      </c>
      <c r="AX21" s="156">
        <f>SUM(AX15:AX20)</f>
        <v>84230.650897101455</v>
      </c>
      <c r="AY21" s="156">
        <f>SUM(AY15:AY20)</f>
        <v>84230.650897101455</v>
      </c>
      <c r="AZ21" s="156">
        <f>SUM(AZ15:AZ20)</f>
        <v>107788.65133867756</v>
      </c>
      <c r="BA21" s="156">
        <f t="shared" si="0"/>
        <v>107788.65133867756</v>
      </c>
      <c r="BB21" s="156">
        <f t="shared" si="0"/>
        <v>107788.65133867756</v>
      </c>
      <c r="BC21" s="156">
        <f t="shared" si="0"/>
        <v>107788.65133867756</v>
      </c>
      <c r="BD21" s="156">
        <f t="shared" si="0"/>
        <v>107788.65133867756</v>
      </c>
      <c r="BE21" s="156">
        <f t="shared" si="0"/>
        <v>107788.65133867756</v>
      </c>
      <c r="BF21" s="156">
        <f t="shared" si="0"/>
        <v>107788.65133867756</v>
      </c>
      <c r="BG21" s="156">
        <f t="shared" si="0"/>
        <v>107788.65133867756</v>
      </c>
      <c r="BH21" s="156">
        <f t="shared" si="0"/>
        <v>107788.65133867756</v>
      </c>
      <c r="BI21" s="156">
        <f t="shared" si="0"/>
        <v>107788.65133867756</v>
      </c>
      <c r="BJ21" s="156">
        <f t="shared" si="0"/>
        <v>107788.65133867756</v>
      </c>
      <c r="BK21" s="156">
        <f t="shared" si="0"/>
        <v>107788.65133867756</v>
      </c>
      <c r="BL21" s="156">
        <f t="shared" si="0"/>
        <v>1307361.9619010873</v>
      </c>
      <c r="BM21" s="156">
        <f t="shared" si="0"/>
        <v>1295867.8977839679</v>
      </c>
      <c r="BN21" s="156">
        <f t="shared" si="0"/>
        <v>1311190.4348088184</v>
      </c>
    </row>
    <row r="22" spans="1:66" s="141" customFormat="1" x14ac:dyDescent="0.2">
      <c r="A22" s="138"/>
      <c r="B22" s="13"/>
      <c r="C22" s="1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33"/>
    </row>
    <row r="23" spans="1:66" s="141" customFormat="1" x14ac:dyDescent="0.2">
      <c r="A23" s="138"/>
      <c r="B23" s="111"/>
      <c r="C23" s="11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33"/>
    </row>
    <row r="24" spans="1:66" s="141" customFormat="1" x14ac:dyDescent="0.2">
      <c r="A24" s="138"/>
      <c r="B24" s="11" t="str">
        <f>'P&amp;L Forecast'!C20</f>
        <v>Development costs</v>
      </c>
      <c r="C24" s="11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4"/>
    </row>
    <row r="25" spans="1:66" s="141" customFormat="1" x14ac:dyDescent="0.2">
      <c r="A25" s="138"/>
      <c r="B25" s="112" t="str">
        <f>'P&amp;L Forecast'!C21</f>
        <v>Site feasibility assessment</v>
      </c>
      <c r="C25" s="155">
        <f>+'P&amp;L Forecast'!D21</f>
        <v>12063.670000000002</v>
      </c>
      <c r="D25" s="155">
        <f>'P&amp;L Forecast'!$F21/12</f>
        <v>3333.3333333333335</v>
      </c>
      <c r="E25" s="155">
        <f>'P&amp;L Forecast'!$F21/12</f>
        <v>3333.3333333333335</v>
      </c>
      <c r="F25" s="155">
        <f>'P&amp;L Forecast'!$F21/12</f>
        <v>3333.3333333333335</v>
      </c>
      <c r="G25" s="155">
        <f>'P&amp;L Forecast'!$F21/12</f>
        <v>3333.3333333333335</v>
      </c>
      <c r="H25" s="155">
        <f>'P&amp;L Forecast'!$F21/12</f>
        <v>3333.3333333333335</v>
      </c>
      <c r="I25" s="155">
        <f>'P&amp;L Forecast'!$F21/12</f>
        <v>3333.3333333333335</v>
      </c>
      <c r="J25" s="155">
        <f>'P&amp;L Forecast'!$F21/12</f>
        <v>3333.3333333333335</v>
      </c>
      <c r="K25" s="155">
        <f>'P&amp;L Forecast'!$F21/12</f>
        <v>3333.3333333333335</v>
      </c>
      <c r="L25" s="155">
        <f>'P&amp;L Forecast'!$F21/12</f>
        <v>3333.3333333333335</v>
      </c>
      <c r="M25" s="155">
        <f>'P&amp;L Forecast'!$F21/12</f>
        <v>3333.3333333333335</v>
      </c>
      <c r="N25" s="155">
        <f>'P&amp;L Forecast'!$F21/12</f>
        <v>3333.3333333333335</v>
      </c>
      <c r="O25" s="155">
        <f>'P&amp;L Forecast'!$F21/12</f>
        <v>3333.3333333333335</v>
      </c>
      <c r="P25" s="155">
        <f>'P&amp;L Forecast'!$G21/12</f>
        <v>1250</v>
      </c>
      <c r="Q25" s="155">
        <f>'P&amp;L Forecast'!$G21/12</f>
        <v>1250</v>
      </c>
      <c r="R25" s="155">
        <f>'P&amp;L Forecast'!$G21/12</f>
        <v>1250</v>
      </c>
      <c r="S25" s="155">
        <f>'P&amp;L Forecast'!$G21/12</f>
        <v>1250</v>
      </c>
      <c r="T25" s="155">
        <f>'P&amp;L Forecast'!$G21/12</f>
        <v>1250</v>
      </c>
      <c r="U25" s="155">
        <f>'P&amp;L Forecast'!$G21/12</f>
        <v>1250</v>
      </c>
      <c r="V25" s="155">
        <f>'P&amp;L Forecast'!$G21/12</f>
        <v>1250</v>
      </c>
      <c r="W25" s="155">
        <f>'P&amp;L Forecast'!$G21/12</f>
        <v>1250</v>
      </c>
      <c r="X25" s="155">
        <f>'P&amp;L Forecast'!$G21/12</f>
        <v>1250</v>
      </c>
      <c r="Y25" s="155">
        <f>'P&amp;L Forecast'!$G21/12</f>
        <v>1250</v>
      </c>
      <c r="Z25" s="155">
        <f>'P&amp;L Forecast'!$G21/12</f>
        <v>1250</v>
      </c>
      <c r="AA25" s="155">
        <f>'P&amp;L Forecast'!$G21/12</f>
        <v>1250</v>
      </c>
      <c r="AB25" s="155">
        <f>'P&amp;L Forecast'!$H21/12</f>
        <v>1250</v>
      </c>
      <c r="AC25" s="155">
        <f>'P&amp;L Forecast'!$H21/12</f>
        <v>1250</v>
      </c>
      <c r="AD25" s="155">
        <f>'P&amp;L Forecast'!$H21/12</f>
        <v>1250</v>
      </c>
      <c r="AE25" s="155">
        <f>'P&amp;L Forecast'!$H21/12</f>
        <v>1250</v>
      </c>
      <c r="AF25" s="155">
        <f>'P&amp;L Forecast'!$H21/12</f>
        <v>1250</v>
      </c>
      <c r="AG25" s="155">
        <f>'P&amp;L Forecast'!$H21/12</f>
        <v>1250</v>
      </c>
      <c r="AH25" s="155">
        <f>'P&amp;L Forecast'!$H21/12</f>
        <v>1250</v>
      </c>
      <c r="AI25" s="155">
        <f>'P&amp;L Forecast'!$H21/12</f>
        <v>1250</v>
      </c>
      <c r="AJ25" s="155">
        <f>'P&amp;L Forecast'!$H21/12</f>
        <v>1250</v>
      </c>
      <c r="AK25" s="155">
        <f>'P&amp;L Forecast'!$H21/12</f>
        <v>1250</v>
      </c>
      <c r="AL25" s="155">
        <f>'P&amp;L Forecast'!$H21/12</f>
        <v>1250</v>
      </c>
      <c r="AM25" s="155">
        <f>'P&amp;L Forecast'!$H21/12</f>
        <v>1250</v>
      </c>
      <c r="AN25" s="155">
        <f>'P&amp;L Forecast'!$I21/12</f>
        <v>1250</v>
      </c>
      <c r="AO25" s="155">
        <f>'P&amp;L Forecast'!$I21/12</f>
        <v>1250</v>
      </c>
      <c r="AP25" s="155">
        <f>'P&amp;L Forecast'!$I21/12</f>
        <v>1250</v>
      </c>
      <c r="AQ25" s="155">
        <f>'P&amp;L Forecast'!$I21/12</f>
        <v>1250</v>
      </c>
      <c r="AR25" s="155">
        <f>'P&amp;L Forecast'!$I21/12</f>
        <v>1250</v>
      </c>
      <c r="AS25" s="155">
        <f>'P&amp;L Forecast'!$I21/12</f>
        <v>1250</v>
      </c>
      <c r="AT25" s="155">
        <f>'P&amp;L Forecast'!$I21/12</f>
        <v>1250</v>
      </c>
      <c r="AU25" s="155">
        <f>'P&amp;L Forecast'!$I21/12</f>
        <v>1250</v>
      </c>
      <c r="AV25" s="155">
        <f>'P&amp;L Forecast'!$I21/12</f>
        <v>1250</v>
      </c>
      <c r="AW25" s="155">
        <f>'P&amp;L Forecast'!$I21/12</f>
        <v>1250</v>
      </c>
      <c r="AX25" s="155">
        <f>'P&amp;L Forecast'!$I21/12</f>
        <v>1250</v>
      </c>
      <c r="AY25" s="155">
        <f>'P&amp;L Forecast'!$I21/12</f>
        <v>1250</v>
      </c>
      <c r="AZ25" s="155">
        <f>'P&amp;L Forecast'!$J21/12</f>
        <v>0</v>
      </c>
      <c r="BA25" s="155">
        <f>'P&amp;L Forecast'!$J21/12</f>
        <v>0</v>
      </c>
      <c r="BB25" s="155">
        <f>'P&amp;L Forecast'!$J21/12</f>
        <v>0</v>
      </c>
      <c r="BC25" s="155">
        <f>'P&amp;L Forecast'!$J21/12</f>
        <v>0</v>
      </c>
      <c r="BD25" s="155">
        <f>'P&amp;L Forecast'!$J21/12</f>
        <v>0</v>
      </c>
      <c r="BE25" s="155">
        <f>'P&amp;L Forecast'!$J21/12</f>
        <v>0</v>
      </c>
      <c r="BF25" s="155">
        <f>'P&amp;L Forecast'!$J21/12</f>
        <v>0</v>
      </c>
      <c r="BG25" s="155">
        <f>'P&amp;L Forecast'!$J21/12</f>
        <v>0</v>
      </c>
      <c r="BH25" s="155">
        <f>'P&amp;L Forecast'!$J21/12</f>
        <v>0</v>
      </c>
      <c r="BI25" s="155">
        <f>'P&amp;L Forecast'!$J21/12</f>
        <v>0</v>
      </c>
      <c r="BJ25" s="155">
        <f>'P&amp;L Forecast'!$J21/12</f>
        <v>0</v>
      </c>
      <c r="BK25" s="155">
        <f>'P&amp;L Forecast'!$J21/12</f>
        <v>0</v>
      </c>
      <c r="BL25" s="155">
        <f>'P&amp;L Forecast'!K21</f>
        <v>0</v>
      </c>
      <c r="BM25" s="155">
        <f>'P&amp;L Forecast'!L21</f>
        <v>0</v>
      </c>
      <c r="BN25" s="155">
        <f>'P&amp;L Forecast'!M21</f>
        <v>0</v>
      </c>
    </row>
    <row r="26" spans="1:66" s="141" customFormat="1" x14ac:dyDescent="0.2">
      <c r="A26" s="138"/>
      <c r="B26" s="112" t="str">
        <f>'P&amp;L Forecast'!C22</f>
        <v>Env. &amp; social impact assessment</v>
      </c>
      <c r="C26" s="155">
        <f>+'P&amp;L Forecast'!D22</f>
        <v>0</v>
      </c>
      <c r="D26" s="155">
        <f>'P&amp;L Forecast'!$F22/12</f>
        <v>416.66666666666669</v>
      </c>
      <c r="E26" s="155">
        <f>'P&amp;L Forecast'!$F22/12</f>
        <v>416.66666666666669</v>
      </c>
      <c r="F26" s="155">
        <f>'P&amp;L Forecast'!$F22/12</f>
        <v>416.66666666666669</v>
      </c>
      <c r="G26" s="155">
        <f>'P&amp;L Forecast'!$F22/12</f>
        <v>416.66666666666669</v>
      </c>
      <c r="H26" s="155">
        <f>'P&amp;L Forecast'!$F22/12</f>
        <v>416.66666666666669</v>
      </c>
      <c r="I26" s="155">
        <f>'P&amp;L Forecast'!$F22/12</f>
        <v>416.66666666666669</v>
      </c>
      <c r="J26" s="155">
        <f>'P&amp;L Forecast'!$F22/12</f>
        <v>416.66666666666669</v>
      </c>
      <c r="K26" s="155">
        <f>'P&amp;L Forecast'!$F22/12</f>
        <v>416.66666666666669</v>
      </c>
      <c r="L26" s="155">
        <f>'P&amp;L Forecast'!$F22/12</f>
        <v>416.66666666666669</v>
      </c>
      <c r="M26" s="155">
        <f>'P&amp;L Forecast'!$F22/12</f>
        <v>416.66666666666669</v>
      </c>
      <c r="N26" s="155">
        <f>'P&amp;L Forecast'!$F22/12</f>
        <v>416.66666666666669</v>
      </c>
      <c r="O26" s="155">
        <f>'P&amp;L Forecast'!$F22/12</f>
        <v>416.66666666666669</v>
      </c>
      <c r="P26" s="155">
        <f>'P&amp;L Forecast'!$G22/12</f>
        <v>416.66666666666669</v>
      </c>
      <c r="Q26" s="155">
        <f>'P&amp;L Forecast'!$G22/12</f>
        <v>416.66666666666669</v>
      </c>
      <c r="R26" s="155">
        <f>'P&amp;L Forecast'!$G22/12</f>
        <v>416.66666666666669</v>
      </c>
      <c r="S26" s="155">
        <f>'P&amp;L Forecast'!$G22/12</f>
        <v>416.66666666666669</v>
      </c>
      <c r="T26" s="155">
        <f>'P&amp;L Forecast'!$G22/12</f>
        <v>416.66666666666669</v>
      </c>
      <c r="U26" s="155">
        <f>'P&amp;L Forecast'!$G22/12</f>
        <v>416.66666666666669</v>
      </c>
      <c r="V26" s="155">
        <f>'P&amp;L Forecast'!$G22/12</f>
        <v>416.66666666666669</v>
      </c>
      <c r="W26" s="155">
        <f>'P&amp;L Forecast'!$G22/12</f>
        <v>416.66666666666669</v>
      </c>
      <c r="X26" s="155">
        <f>'P&amp;L Forecast'!$G22/12</f>
        <v>416.66666666666669</v>
      </c>
      <c r="Y26" s="155">
        <f>'P&amp;L Forecast'!$G22/12</f>
        <v>416.66666666666669</v>
      </c>
      <c r="Z26" s="155">
        <f>'P&amp;L Forecast'!$G22/12</f>
        <v>416.66666666666669</v>
      </c>
      <c r="AA26" s="155">
        <f>'P&amp;L Forecast'!$G22/12</f>
        <v>416.66666666666669</v>
      </c>
      <c r="AB26" s="155">
        <f>'P&amp;L Forecast'!$H22/12</f>
        <v>416.66666666666669</v>
      </c>
      <c r="AC26" s="155">
        <f>'P&amp;L Forecast'!$H22/12</f>
        <v>416.66666666666669</v>
      </c>
      <c r="AD26" s="155">
        <f>'P&amp;L Forecast'!$H22/12</f>
        <v>416.66666666666669</v>
      </c>
      <c r="AE26" s="155">
        <f>'P&amp;L Forecast'!$H22/12</f>
        <v>416.66666666666669</v>
      </c>
      <c r="AF26" s="155">
        <f>'P&amp;L Forecast'!$H22/12</f>
        <v>416.66666666666669</v>
      </c>
      <c r="AG26" s="155">
        <f>'P&amp;L Forecast'!$H22/12</f>
        <v>416.66666666666669</v>
      </c>
      <c r="AH26" s="155">
        <f>'P&amp;L Forecast'!$H22/12</f>
        <v>416.66666666666669</v>
      </c>
      <c r="AI26" s="155">
        <f>'P&amp;L Forecast'!$H22/12</f>
        <v>416.66666666666669</v>
      </c>
      <c r="AJ26" s="155">
        <f>'P&amp;L Forecast'!$H22/12</f>
        <v>416.66666666666669</v>
      </c>
      <c r="AK26" s="155">
        <f>'P&amp;L Forecast'!$H22/12</f>
        <v>416.66666666666669</v>
      </c>
      <c r="AL26" s="155">
        <f>'P&amp;L Forecast'!$H22/12</f>
        <v>416.66666666666669</v>
      </c>
      <c r="AM26" s="155">
        <f>'P&amp;L Forecast'!$H22/12</f>
        <v>416.66666666666669</v>
      </c>
      <c r="AN26" s="155">
        <f>'P&amp;L Forecast'!$I22/12</f>
        <v>416.66666666666669</v>
      </c>
      <c r="AO26" s="155">
        <f>'P&amp;L Forecast'!$I22/12</f>
        <v>416.66666666666669</v>
      </c>
      <c r="AP26" s="155">
        <f>'P&amp;L Forecast'!$I22/12</f>
        <v>416.66666666666669</v>
      </c>
      <c r="AQ26" s="155">
        <f>'P&amp;L Forecast'!$I22/12</f>
        <v>416.66666666666669</v>
      </c>
      <c r="AR26" s="155">
        <f>'P&amp;L Forecast'!$I22/12</f>
        <v>416.66666666666669</v>
      </c>
      <c r="AS26" s="155">
        <f>'P&amp;L Forecast'!$I22/12</f>
        <v>416.66666666666669</v>
      </c>
      <c r="AT26" s="155">
        <f>'P&amp;L Forecast'!$I22/12</f>
        <v>416.66666666666669</v>
      </c>
      <c r="AU26" s="155">
        <f>'P&amp;L Forecast'!$I22/12</f>
        <v>416.66666666666669</v>
      </c>
      <c r="AV26" s="155">
        <f>'P&amp;L Forecast'!$I22/12</f>
        <v>416.66666666666669</v>
      </c>
      <c r="AW26" s="155">
        <f>'P&amp;L Forecast'!$I22/12</f>
        <v>416.66666666666669</v>
      </c>
      <c r="AX26" s="155">
        <f>'P&amp;L Forecast'!$I22/12</f>
        <v>416.66666666666669</v>
      </c>
      <c r="AY26" s="155">
        <f>'P&amp;L Forecast'!$I22/12</f>
        <v>416.66666666666669</v>
      </c>
      <c r="AZ26" s="155">
        <f>'P&amp;L Forecast'!$J22/12</f>
        <v>0</v>
      </c>
      <c r="BA26" s="155">
        <f>'P&amp;L Forecast'!$J22/12</f>
        <v>0</v>
      </c>
      <c r="BB26" s="155">
        <f>'P&amp;L Forecast'!$J22/12</f>
        <v>0</v>
      </c>
      <c r="BC26" s="155">
        <f>'P&amp;L Forecast'!$J22/12</f>
        <v>0</v>
      </c>
      <c r="BD26" s="155">
        <f>'P&amp;L Forecast'!$J22/12</f>
        <v>0</v>
      </c>
      <c r="BE26" s="155">
        <f>'P&amp;L Forecast'!$J22/12</f>
        <v>0</v>
      </c>
      <c r="BF26" s="155">
        <f>'P&amp;L Forecast'!$J22/12</f>
        <v>0</v>
      </c>
      <c r="BG26" s="155">
        <f>'P&amp;L Forecast'!$J22/12</f>
        <v>0</v>
      </c>
      <c r="BH26" s="155">
        <f>'P&amp;L Forecast'!$J22/12</f>
        <v>0</v>
      </c>
      <c r="BI26" s="155">
        <f>'P&amp;L Forecast'!$J22/12</f>
        <v>0</v>
      </c>
      <c r="BJ26" s="155">
        <f>'P&amp;L Forecast'!$J22/12</f>
        <v>0</v>
      </c>
      <c r="BK26" s="155">
        <f>'P&amp;L Forecast'!$J22/12</f>
        <v>0</v>
      </c>
      <c r="BL26" s="155">
        <f>'P&amp;L Forecast'!K22</f>
        <v>0</v>
      </c>
      <c r="BM26" s="155">
        <f>'P&amp;L Forecast'!L22</f>
        <v>0</v>
      </c>
      <c r="BN26" s="155">
        <f>'P&amp;L Forecast'!M22</f>
        <v>0</v>
      </c>
    </row>
    <row r="27" spans="1:66" s="141" customFormat="1" x14ac:dyDescent="0.2">
      <c r="A27" s="138"/>
      <c r="B27" s="112" t="str">
        <f>'P&amp;L Forecast'!C23</f>
        <v>Carbon credit certification</v>
      </c>
      <c r="C27" s="155">
        <f>+'P&amp;L Forecast'!D23</f>
        <v>0</v>
      </c>
      <c r="D27" s="155">
        <f>'P&amp;L Forecast'!$F23/12</f>
        <v>2083.3333333333335</v>
      </c>
      <c r="E27" s="155">
        <f>'P&amp;L Forecast'!$F23/12</f>
        <v>2083.3333333333335</v>
      </c>
      <c r="F27" s="155">
        <f>'P&amp;L Forecast'!$F23/12</f>
        <v>2083.3333333333335</v>
      </c>
      <c r="G27" s="155">
        <f>'P&amp;L Forecast'!$F23/12</f>
        <v>2083.3333333333335</v>
      </c>
      <c r="H27" s="155">
        <f>'P&amp;L Forecast'!$F23/12</f>
        <v>2083.3333333333335</v>
      </c>
      <c r="I27" s="155">
        <f>'P&amp;L Forecast'!$F23/12</f>
        <v>2083.3333333333335</v>
      </c>
      <c r="J27" s="155">
        <f>'P&amp;L Forecast'!$F23/12</f>
        <v>2083.3333333333335</v>
      </c>
      <c r="K27" s="155">
        <f>'P&amp;L Forecast'!$F23/12</f>
        <v>2083.3333333333335</v>
      </c>
      <c r="L27" s="155">
        <f>'P&amp;L Forecast'!$F23/12</f>
        <v>2083.3333333333335</v>
      </c>
      <c r="M27" s="155">
        <f>'P&amp;L Forecast'!$F23/12</f>
        <v>2083.3333333333335</v>
      </c>
      <c r="N27" s="155">
        <f>'P&amp;L Forecast'!$F23/12</f>
        <v>2083.3333333333335</v>
      </c>
      <c r="O27" s="155">
        <f>'P&amp;L Forecast'!$F23/12</f>
        <v>2083.3333333333335</v>
      </c>
      <c r="P27" s="155">
        <f>'P&amp;L Forecast'!$G23/12</f>
        <v>2083.3333333333335</v>
      </c>
      <c r="Q27" s="155">
        <f>'P&amp;L Forecast'!$G23/12</f>
        <v>2083.3333333333335</v>
      </c>
      <c r="R27" s="155">
        <f>'P&amp;L Forecast'!$G23/12</f>
        <v>2083.3333333333335</v>
      </c>
      <c r="S27" s="155">
        <f>'P&amp;L Forecast'!$G23/12</f>
        <v>2083.3333333333335</v>
      </c>
      <c r="T27" s="155">
        <f>'P&amp;L Forecast'!$G23/12</f>
        <v>2083.3333333333335</v>
      </c>
      <c r="U27" s="155">
        <f>'P&amp;L Forecast'!$G23/12</f>
        <v>2083.3333333333335</v>
      </c>
      <c r="V27" s="155">
        <f>'P&amp;L Forecast'!$G23/12</f>
        <v>2083.3333333333335</v>
      </c>
      <c r="W27" s="155">
        <f>'P&amp;L Forecast'!$G23/12</f>
        <v>2083.3333333333335</v>
      </c>
      <c r="X27" s="155">
        <f>'P&amp;L Forecast'!$G23/12</f>
        <v>2083.3333333333335</v>
      </c>
      <c r="Y27" s="155">
        <f>'P&amp;L Forecast'!$G23/12</f>
        <v>2083.3333333333335</v>
      </c>
      <c r="Z27" s="155">
        <f>'P&amp;L Forecast'!$G23/12</f>
        <v>2083.3333333333335</v>
      </c>
      <c r="AA27" s="155">
        <f>'P&amp;L Forecast'!$G23/12</f>
        <v>2083.3333333333335</v>
      </c>
      <c r="AB27" s="155">
        <f>'P&amp;L Forecast'!$H23/12</f>
        <v>625</v>
      </c>
      <c r="AC27" s="155">
        <f>'P&amp;L Forecast'!$H23/12</f>
        <v>625</v>
      </c>
      <c r="AD27" s="155">
        <f>'P&amp;L Forecast'!$H23/12</f>
        <v>625</v>
      </c>
      <c r="AE27" s="155">
        <f>'P&amp;L Forecast'!$H23/12</f>
        <v>625</v>
      </c>
      <c r="AF27" s="155">
        <f>'P&amp;L Forecast'!$H23/12</f>
        <v>625</v>
      </c>
      <c r="AG27" s="155">
        <f>'P&amp;L Forecast'!$H23/12</f>
        <v>625</v>
      </c>
      <c r="AH27" s="155">
        <f>'P&amp;L Forecast'!$H23/12</f>
        <v>625</v>
      </c>
      <c r="AI27" s="155">
        <f>'P&amp;L Forecast'!$H23/12</f>
        <v>625</v>
      </c>
      <c r="AJ27" s="155">
        <f>'P&amp;L Forecast'!$H23/12</f>
        <v>625</v>
      </c>
      <c r="AK27" s="155">
        <f>'P&amp;L Forecast'!$H23/12</f>
        <v>625</v>
      </c>
      <c r="AL27" s="155">
        <f>'P&amp;L Forecast'!$H23/12</f>
        <v>625</v>
      </c>
      <c r="AM27" s="155">
        <f>'P&amp;L Forecast'!$H23/12</f>
        <v>625</v>
      </c>
      <c r="AN27" s="155">
        <f>'P&amp;L Forecast'!$I23/12</f>
        <v>625</v>
      </c>
      <c r="AO27" s="155">
        <f>'P&amp;L Forecast'!$I23/12</f>
        <v>625</v>
      </c>
      <c r="AP27" s="155">
        <f>'P&amp;L Forecast'!$I23/12</f>
        <v>625</v>
      </c>
      <c r="AQ27" s="155">
        <f>'P&amp;L Forecast'!$I23/12</f>
        <v>625</v>
      </c>
      <c r="AR27" s="155">
        <f>'P&amp;L Forecast'!$I23/12</f>
        <v>625</v>
      </c>
      <c r="AS27" s="155">
        <f>'P&amp;L Forecast'!$I23/12</f>
        <v>625</v>
      </c>
      <c r="AT27" s="155">
        <f>'P&amp;L Forecast'!$I23/12</f>
        <v>625</v>
      </c>
      <c r="AU27" s="155">
        <f>'P&amp;L Forecast'!$I23/12</f>
        <v>625</v>
      </c>
      <c r="AV27" s="155">
        <f>'P&amp;L Forecast'!$I23/12</f>
        <v>625</v>
      </c>
      <c r="AW27" s="155">
        <f>'P&amp;L Forecast'!$I23/12</f>
        <v>625</v>
      </c>
      <c r="AX27" s="155">
        <f>'P&amp;L Forecast'!$I23/12</f>
        <v>625</v>
      </c>
      <c r="AY27" s="155">
        <f>'P&amp;L Forecast'!$I23/12</f>
        <v>625</v>
      </c>
      <c r="AZ27" s="155">
        <f>'P&amp;L Forecast'!$J23/12</f>
        <v>625</v>
      </c>
      <c r="BA27" s="155">
        <f>'P&amp;L Forecast'!$J23/12</f>
        <v>625</v>
      </c>
      <c r="BB27" s="155">
        <f>'P&amp;L Forecast'!$J23/12</f>
        <v>625</v>
      </c>
      <c r="BC27" s="155">
        <f>'P&amp;L Forecast'!$J23/12</f>
        <v>625</v>
      </c>
      <c r="BD27" s="155">
        <f>'P&amp;L Forecast'!$J23/12</f>
        <v>625</v>
      </c>
      <c r="BE27" s="155">
        <f>'P&amp;L Forecast'!$J23/12</f>
        <v>625</v>
      </c>
      <c r="BF27" s="155">
        <f>'P&amp;L Forecast'!$J23/12</f>
        <v>625</v>
      </c>
      <c r="BG27" s="155">
        <f>'P&amp;L Forecast'!$J23/12</f>
        <v>625</v>
      </c>
      <c r="BH27" s="155">
        <f>'P&amp;L Forecast'!$J23/12</f>
        <v>625</v>
      </c>
      <c r="BI27" s="155">
        <f>'P&amp;L Forecast'!$J23/12</f>
        <v>625</v>
      </c>
      <c r="BJ27" s="155">
        <f>'P&amp;L Forecast'!$J23/12</f>
        <v>625</v>
      </c>
      <c r="BK27" s="155">
        <f>'P&amp;L Forecast'!$J23/12</f>
        <v>625</v>
      </c>
      <c r="BL27" s="155">
        <f>'P&amp;L Forecast'!K23</f>
        <v>7500</v>
      </c>
      <c r="BM27" s="155">
        <f>'P&amp;L Forecast'!L23</f>
        <v>7500</v>
      </c>
      <c r="BN27" s="155">
        <f>'P&amp;L Forecast'!M23</f>
        <v>7500</v>
      </c>
    </row>
    <row r="28" spans="1:66" s="141" customFormat="1" x14ac:dyDescent="0.2">
      <c r="A28" s="138"/>
      <c r="B28" s="112"/>
      <c r="C28" s="112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</row>
    <row r="29" spans="1:66" s="141" customFormat="1" x14ac:dyDescent="0.2">
      <c r="A29" s="138"/>
      <c r="B29" s="11" t="str">
        <f>'P&amp;L Forecast'!C25</f>
        <v>Operations &amp; maintenance costs</v>
      </c>
      <c r="C29" s="11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</row>
    <row r="30" spans="1:66" s="141" customFormat="1" x14ac:dyDescent="0.2">
      <c r="A30" s="138"/>
      <c r="B30" s="111" t="str">
        <f>'P&amp;L Forecast'!C26</f>
        <v>Production - Maintenance &amp; repairs</v>
      </c>
      <c r="C30" s="155">
        <f>+'P&amp;L Forecast'!D26</f>
        <v>661.5</v>
      </c>
      <c r="D30" s="155">
        <f>'P&amp;L Forecast'!$F26/12</f>
        <v>416.66666666666669</v>
      </c>
      <c r="E30" s="155">
        <f>'P&amp;L Forecast'!$F26/12</f>
        <v>416.66666666666669</v>
      </c>
      <c r="F30" s="155">
        <f>'P&amp;L Forecast'!$F26/12</f>
        <v>416.66666666666669</v>
      </c>
      <c r="G30" s="155">
        <f>'P&amp;L Forecast'!$F26/12</f>
        <v>416.66666666666669</v>
      </c>
      <c r="H30" s="155">
        <f>'P&amp;L Forecast'!$F26/12</f>
        <v>416.66666666666669</v>
      </c>
      <c r="I30" s="155">
        <f>'P&amp;L Forecast'!$F26/12</f>
        <v>416.66666666666669</v>
      </c>
      <c r="J30" s="155">
        <f>'P&amp;L Forecast'!$F26/12</f>
        <v>416.66666666666669</v>
      </c>
      <c r="K30" s="155">
        <f>'P&amp;L Forecast'!$F26/12</f>
        <v>416.66666666666669</v>
      </c>
      <c r="L30" s="155">
        <f>'P&amp;L Forecast'!$F26/12</f>
        <v>416.66666666666669</v>
      </c>
      <c r="M30" s="155">
        <f>'P&amp;L Forecast'!$F26/12</f>
        <v>416.66666666666669</v>
      </c>
      <c r="N30" s="155">
        <f>'P&amp;L Forecast'!$F26/12</f>
        <v>416.66666666666669</v>
      </c>
      <c r="O30" s="155">
        <f>'P&amp;L Forecast'!$F26/12</f>
        <v>416.66666666666669</v>
      </c>
      <c r="P30" s="155">
        <f>'P&amp;L Forecast'!$G26/12</f>
        <v>462.50000000000006</v>
      </c>
      <c r="Q30" s="155">
        <f>'P&amp;L Forecast'!$G26/12</f>
        <v>462.50000000000006</v>
      </c>
      <c r="R30" s="155">
        <f>'P&amp;L Forecast'!$G26/12</f>
        <v>462.50000000000006</v>
      </c>
      <c r="S30" s="155">
        <f>'P&amp;L Forecast'!$G26/12</f>
        <v>462.50000000000006</v>
      </c>
      <c r="T30" s="155">
        <f>'P&amp;L Forecast'!$G26/12</f>
        <v>462.50000000000006</v>
      </c>
      <c r="U30" s="155">
        <f>'P&amp;L Forecast'!$G26/12</f>
        <v>462.50000000000006</v>
      </c>
      <c r="V30" s="155">
        <f>'P&amp;L Forecast'!$G26/12</f>
        <v>462.50000000000006</v>
      </c>
      <c r="W30" s="155">
        <f>'P&amp;L Forecast'!$G26/12</f>
        <v>462.50000000000006</v>
      </c>
      <c r="X30" s="155">
        <f>'P&amp;L Forecast'!$G26/12</f>
        <v>462.50000000000006</v>
      </c>
      <c r="Y30" s="155">
        <f>'P&amp;L Forecast'!$G26/12</f>
        <v>462.50000000000006</v>
      </c>
      <c r="Z30" s="155">
        <f>'P&amp;L Forecast'!$G26/12</f>
        <v>462.50000000000006</v>
      </c>
      <c r="AA30" s="155">
        <f>'P&amp;L Forecast'!$G26/12</f>
        <v>462.50000000000006</v>
      </c>
      <c r="AB30" s="155">
        <f>'P&amp;L Forecast'!$H26/12</f>
        <v>513.37500000000011</v>
      </c>
      <c r="AC30" s="155">
        <f>'P&amp;L Forecast'!$H26/12</f>
        <v>513.37500000000011</v>
      </c>
      <c r="AD30" s="155">
        <f>'P&amp;L Forecast'!$H26/12</f>
        <v>513.37500000000011</v>
      </c>
      <c r="AE30" s="155">
        <f>'P&amp;L Forecast'!$H26/12</f>
        <v>513.37500000000011</v>
      </c>
      <c r="AF30" s="155">
        <f>'P&amp;L Forecast'!$H26/12</f>
        <v>513.37500000000011</v>
      </c>
      <c r="AG30" s="155">
        <f>'P&amp;L Forecast'!$H26/12</f>
        <v>513.37500000000011</v>
      </c>
      <c r="AH30" s="155">
        <f>'P&amp;L Forecast'!$H26/12</f>
        <v>513.37500000000011</v>
      </c>
      <c r="AI30" s="155">
        <f>'P&amp;L Forecast'!$H26/12</f>
        <v>513.37500000000011</v>
      </c>
      <c r="AJ30" s="155">
        <f>'P&amp;L Forecast'!$H26/12</f>
        <v>513.37500000000011</v>
      </c>
      <c r="AK30" s="155">
        <f>'P&amp;L Forecast'!$H26/12</f>
        <v>513.37500000000011</v>
      </c>
      <c r="AL30" s="155">
        <f>'P&amp;L Forecast'!$H26/12</f>
        <v>513.37500000000011</v>
      </c>
      <c r="AM30" s="155">
        <f>'P&amp;L Forecast'!$H26/12</f>
        <v>513.37500000000011</v>
      </c>
      <c r="AN30" s="155">
        <f>'P&amp;L Forecast'!$I26/12</f>
        <v>569.84625000000017</v>
      </c>
      <c r="AO30" s="155">
        <f>'P&amp;L Forecast'!$I26/12</f>
        <v>569.84625000000017</v>
      </c>
      <c r="AP30" s="155">
        <f>'P&amp;L Forecast'!$I26/12</f>
        <v>569.84625000000017</v>
      </c>
      <c r="AQ30" s="155">
        <f>'P&amp;L Forecast'!$I26/12</f>
        <v>569.84625000000017</v>
      </c>
      <c r="AR30" s="155">
        <f>'P&amp;L Forecast'!$I26/12</f>
        <v>569.84625000000017</v>
      </c>
      <c r="AS30" s="155">
        <f>'P&amp;L Forecast'!$I26/12</f>
        <v>569.84625000000017</v>
      </c>
      <c r="AT30" s="155">
        <f>'P&amp;L Forecast'!$I26/12</f>
        <v>569.84625000000017</v>
      </c>
      <c r="AU30" s="155">
        <f>'P&amp;L Forecast'!$I26/12</f>
        <v>569.84625000000017</v>
      </c>
      <c r="AV30" s="155">
        <f>'P&amp;L Forecast'!$I26/12</f>
        <v>569.84625000000017</v>
      </c>
      <c r="AW30" s="155">
        <f>'P&amp;L Forecast'!$I26/12</f>
        <v>569.84625000000017</v>
      </c>
      <c r="AX30" s="155">
        <f>'P&amp;L Forecast'!$I26/12</f>
        <v>569.84625000000017</v>
      </c>
      <c r="AY30" s="155">
        <f>'P&amp;L Forecast'!$I26/12</f>
        <v>569.84625000000017</v>
      </c>
      <c r="AZ30" s="155">
        <f>'P&amp;L Forecast'!$J26/12</f>
        <v>632.52933750000022</v>
      </c>
      <c r="BA30" s="155">
        <f>'P&amp;L Forecast'!$J26/12</f>
        <v>632.52933750000022</v>
      </c>
      <c r="BB30" s="155">
        <f>'P&amp;L Forecast'!$J26/12</f>
        <v>632.52933750000022</v>
      </c>
      <c r="BC30" s="155">
        <f>'P&amp;L Forecast'!$J26/12</f>
        <v>632.52933750000022</v>
      </c>
      <c r="BD30" s="155">
        <f>'P&amp;L Forecast'!$J26/12</f>
        <v>632.52933750000022</v>
      </c>
      <c r="BE30" s="155">
        <f>'P&amp;L Forecast'!$J26/12</f>
        <v>632.52933750000022</v>
      </c>
      <c r="BF30" s="155">
        <f>'P&amp;L Forecast'!$J26/12</f>
        <v>632.52933750000022</v>
      </c>
      <c r="BG30" s="155">
        <f>'P&amp;L Forecast'!$J26/12</f>
        <v>632.52933750000022</v>
      </c>
      <c r="BH30" s="155">
        <f>'P&amp;L Forecast'!$J26/12</f>
        <v>632.52933750000022</v>
      </c>
      <c r="BI30" s="155">
        <f>'P&amp;L Forecast'!$J26/12</f>
        <v>632.52933750000022</v>
      </c>
      <c r="BJ30" s="155">
        <f>'P&amp;L Forecast'!$J26/12</f>
        <v>632.52933750000022</v>
      </c>
      <c r="BK30" s="155">
        <f>'P&amp;L Forecast'!$J26/12</f>
        <v>632.52933750000022</v>
      </c>
      <c r="BL30" s="155">
        <f>+'P&amp;L Forecast'!K26</f>
        <v>8425.2907755000051</v>
      </c>
      <c r="BM30" s="155">
        <f>+'P&amp;L Forecast'!L26</f>
        <v>9352.0727608050056</v>
      </c>
      <c r="BN30" s="155">
        <f>+'P&amp;L Forecast'!M26</f>
        <v>10380.800764493557</v>
      </c>
    </row>
    <row r="31" spans="1:66" s="141" customFormat="1" x14ac:dyDescent="0.2">
      <c r="A31" s="138"/>
      <c r="B31" s="111" t="str">
        <f>'P&amp;L Forecast'!C27</f>
        <v>T&amp;D - Maintenance &amp; repairs</v>
      </c>
      <c r="C31" s="155">
        <f>+'P&amp;L Forecast'!D27</f>
        <v>0</v>
      </c>
      <c r="D31" s="155">
        <f>'P&amp;L Forecast'!$F27/12</f>
        <v>1250</v>
      </c>
      <c r="E31" s="155">
        <f>'P&amp;L Forecast'!$F27/12</f>
        <v>1250</v>
      </c>
      <c r="F31" s="155">
        <f>'P&amp;L Forecast'!$F27/12</f>
        <v>1250</v>
      </c>
      <c r="G31" s="155">
        <f>'P&amp;L Forecast'!$F27/12</f>
        <v>1250</v>
      </c>
      <c r="H31" s="155">
        <f>'P&amp;L Forecast'!$F27/12</f>
        <v>1250</v>
      </c>
      <c r="I31" s="155">
        <f>'P&amp;L Forecast'!$F27/12</f>
        <v>1250</v>
      </c>
      <c r="J31" s="155">
        <f>'P&amp;L Forecast'!$F27/12</f>
        <v>1250</v>
      </c>
      <c r="K31" s="155">
        <f>'P&amp;L Forecast'!$F27/12</f>
        <v>1250</v>
      </c>
      <c r="L31" s="155">
        <f>'P&amp;L Forecast'!$F27/12</f>
        <v>1250</v>
      </c>
      <c r="M31" s="155">
        <f>'P&amp;L Forecast'!$F27/12</f>
        <v>1250</v>
      </c>
      <c r="N31" s="155">
        <f>'P&amp;L Forecast'!$F27/12</f>
        <v>1250</v>
      </c>
      <c r="O31" s="155">
        <f>'P&amp;L Forecast'!$F27/12</f>
        <v>1250</v>
      </c>
      <c r="P31" s="155">
        <f>'P&amp;L Forecast'!$G27/12</f>
        <v>1375</v>
      </c>
      <c r="Q31" s="155">
        <f>'P&amp;L Forecast'!$G27/12</f>
        <v>1375</v>
      </c>
      <c r="R31" s="155">
        <f>'P&amp;L Forecast'!$G27/12</f>
        <v>1375</v>
      </c>
      <c r="S31" s="155">
        <f>'P&amp;L Forecast'!$G27/12</f>
        <v>1375</v>
      </c>
      <c r="T31" s="155">
        <f>'P&amp;L Forecast'!$G27/12</f>
        <v>1375</v>
      </c>
      <c r="U31" s="155">
        <f>'P&amp;L Forecast'!$G27/12</f>
        <v>1375</v>
      </c>
      <c r="V31" s="155">
        <f>'P&amp;L Forecast'!$G27/12</f>
        <v>1375</v>
      </c>
      <c r="W31" s="155">
        <f>'P&amp;L Forecast'!$G27/12</f>
        <v>1375</v>
      </c>
      <c r="X31" s="155">
        <f>'P&amp;L Forecast'!$G27/12</f>
        <v>1375</v>
      </c>
      <c r="Y31" s="155">
        <f>'P&amp;L Forecast'!$G27/12</f>
        <v>1375</v>
      </c>
      <c r="Z31" s="155">
        <f>'P&amp;L Forecast'!$G27/12</f>
        <v>1375</v>
      </c>
      <c r="AA31" s="155">
        <f>'P&amp;L Forecast'!$G27/12</f>
        <v>1375</v>
      </c>
      <c r="AB31" s="155">
        <f>'P&amp;L Forecast'!$H27/12</f>
        <v>1512.5</v>
      </c>
      <c r="AC31" s="155">
        <f>'P&amp;L Forecast'!$H27/12</f>
        <v>1512.5</v>
      </c>
      <c r="AD31" s="155">
        <f>'P&amp;L Forecast'!$H27/12</f>
        <v>1512.5</v>
      </c>
      <c r="AE31" s="155">
        <f>'P&amp;L Forecast'!$H27/12</f>
        <v>1512.5</v>
      </c>
      <c r="AF31" s="155">
        <f>'P&amp;L Forecast'!$H27/12</f>
        <v>1512.5</v>
      </c>
      <c r="AG31" s="155">
        <f>'P&amp;L Forecast'!$H27/12</f>
        <v>1512.5</v>
      </c>
      <c r="AH31" s="155">
        <f>'P&amp;L Forecast'!$H27/12</f>
        <v>1512.5</v>
      </c>
      <c r="AI31" s="155">
        <f>'P&amp;L Forecast'!$H27/12</f>
        <v>1512.5</v>
      </c>
      <c r="AJ31" s="155">
        <f>'P&amp;L Forecast'!$H27/12</f>
        <v>1512.5</v>
      </c>
      <c r="AK31" s="155">
        <f>'P&amp;L Forecast'!$H27/12</f>
        <v>1512.5</v>
      </c>
      <c r="AL31" s="155">
        <f>'P&amp;L Forecast'!$H27/12</f>
        <v>1512.5</v>
      </c>
      <c r="AM31" s="155">
        <f>'P&amp;L Forecast'!$H27/12</f>
        <v>1512.5</v>
      </c>
      <c r="AN31" s="155">
        <f>'P&amp;L Forecast'!$I27/12</f>
        <v>1663.75</v>
      </c>
      <c r="AO31" s="155">
        <f>'P&amp;L Forecast'!$I27/12</f>
        <v>1663.75</v>
      </c>
      <c r="AP31" s="155">
        <f>'P&amp;L Forecast'!$I27/12</f>
        <v>1663.75</v>
      </c>
      <c r="AQ31" s="155">
        <f>'P&amp;L Forecast'!$I27/12</f>
        <v>1663.75</v>
      </c>
      <c r="AR31" s="155">
        <f>'P&amp;L Forecast'!$I27/12</f>
        <v>1663.75</v>
      </c>
      <c r="AS31" s="155">
        <f>'P&amp;L Forecast'!$I27/12</f>
        <v>1663.75</v>
      </c>
      <c r="AT31" s="155">
        <f>'P&amp;L Forecast'!$I27/12</f>
        <v>1663.75</v>
      </c>
      <c r="AU31" s="155">
        <f>'P&amp;L Forecast'!$I27/12</f>
        <v>1663.75</v>
      </c>
      <c r="AV31" s="155">
        <f>'P&amp;L Forecast'!$I27/12</f>
        <v>1663.75</v>
      </c>
      <c r="AW31" s="155">
        <f>'P&amp;L Forecast'!$I27/12</f>
        <v>1663.75</v>
      </c>
      <c r="AX31" s="155">
        <f>'P&amp;L Forecast'!$I27/12</f>
        <v>1663.75</v>
      </c>
      <c r="AY31" s="155">
        <f>'P&amp;L Forecast'!$I27/12</f>
        <v>1663.75</v>
      </c>
      <c r="AZ31" s="155">
        <f>'P&amp;L Forecast'!$J27/12</f>
        <v>1830.125</v>
      </c>
      <c r="BA31" s="155">
        <f>'P&amp;L Forecast'!$J27/12</f>
        <v>1830.125</v>
      </c>
      <c r="BB31" s="155">
        <f>'P&amp;L Forecast'!$J27/12</f>
        <v>1830.125</v>
      </c>
      <c r="BC31" s="155">
        <f>'P&amp;L Forecast'!$J27/12</f>
        <v>1830.125</v>
      </c>
      <c r="BD31" s="155">
        <f>'P&amp;L Forecast'!$J27/12</f>
        <v>1830.125</v>
      </c>
      <c r="BE31" s="155">
        <f>'P&amp;L Forecast'!$J27/12</f>
        <v>1830.125</v>
      </c>
      <c r="BF31" s="155">
        <f>'P&amp;L Forecast'!$J27/12</f>
        <v>1830.125</v>
      </c>
      <c r="BG31" s="155">
        <f>'P&amp;L Forecast'!$J27/12</f>
        <v>1830.125</v>
      </c>
      <c r="BH31" s="155">
        <f>'P&amp;L Forecast'!$J27/12</f>
        <v>1830.125</v>
      </c>
      <c r="BI31" s="155">
        <f>'P&amp;L Forecast'!$J27/12</f>
        <v>1830.125</v>
      </c>
      <c r="BJ31" s="155">
        <f>'P&amp;L Forecast'!$J27/12</f>
        <v>1830.125</v>
      </c>
      <c r="BK31" s="155">
        <f>'P&amp;L Forecast'!$J27/12</f>
        <v>1830.125</v>
      </c>
      <c r="BL31" s="155">
        <f>+'P&amp;L Forecast'!K27</f>
        <v>24157.65</v>
      </c>
      <c r="BM31" s="155">
        <f>+'P&amp;L Forecast'!L27</f>
        <v>26573.415000000005</v>
      </c>
      <c r="BN31" s="155">
        <f>+'P&amp;L Forecast'!M27</f>
        <v>29230.756500000007</v>
      </c>
    </row>
    <row r="32" spans="1:66" s="128" customFormat="1" x14ac:dyDescent="0.2">
      <c r="A32" s="165"/>
      <c r="B32" s="111" t="str">
        <f>'P&amp;L Forecast'!C28</f>
        <v>Asset insurance</v>
      </c>
      <c r="C32" s="155">
        <f>+'P&amp;L Forecast'!D28</f>
        <v>0</v>
      </c>
      <c r="D32" s="155">
        <f>'P&amp;L Forecast'!$F28/12</f>
        <v>935.71907306763285</v>
      </c>
      <c r="E32" s="155">
        <f>'P&amp;L Forecast'!$F28/12</f>
        <v>935.71907306763285</v>
      </c>
      <c r="F32" s="155">
        <f>'P&amp;L Forecast'!$F28/12</f>
        <v>935.71907306763285</v>
      </c>
      <c r="G32" s="155">
        <f>'P&amp;L Forecast'!$F28/12</f>
        <v>935.71907306763285</v>
      </c>
      <c r="H32" s="155">
        <f>'P&amp;L Forecast'!$F28/12</f>
        <v>935.71907306763285</v>
      </c>
      <c r="I32" s="155">
        <f>'P&amp;L Forecast'!$F28/12</f>
        <v>935.71907306763285</v>
      </c>
      <c r="J32" s="155">
        <f>'P&amp;L Forecast'!$F28/12</f>
        <v>935.71907306763285</v>
      </c>
      <c r="K32" s="155">
        <f>'P&amp;L Forecast'!$F28/12</f>
        <v>935.71907306763285</v>
      </c>
      <c r="L32" s="155">
        <f>'P&amp;L Forecast'!$F28/12</f>
        <v>935.71907306763285</v>
      </c>
      <c r="M32" s="155">
        <f>'P&amp;L Forecast'!$F28/12</f>
        <v>935.71907306763285</v>
      </c>
      <c r="N32" s="155">
        <f>'P&amp;L Forecast'!$F28/12</f>
        <v>935.71907306763285</v>
      </c>
      <c r="O32" s="155">
        <f>'P&amp;L Forecast'!$F28/12</f>
        <v>935.71907306763285</v>
      </c>
      <c r="P32" s="155">
        <f>'P&amp;L Forecast'!$G28/12</f>
        <v>1894.9069233091789</v>
      </c>
      <c r="Q32" s="155">
        <f>'P&amp;L Forecast'!$G28/12</f>
        <v>1894.9069233091789</v>
      </c>
      <c r="R32" s="155">
        <f>'P&amp;L Forecast'!$G28/12</f>
        <v>1894.9069233091789</v>
      </c>
      <c r="S32" s="155">
        <f>'P&amp;L Forecast'!$G28/12</f>
        <v>1894.9069233091789</v>
      </c>
      <c r="T32" s="155">
        <f>'P&amp;L Forecast'!$G28/12</f>
        <v>1894.9069233091789</v>
      </c>
      <c r="U32" s="155">
        <f>'P&amp;L Forecast'!$G28/12</f>
        <v>1894.9069233091789</v>
      </c>
      <c r="V32" s="155">
        <f>'P&amp;L Forecast'!$G28/12</f>
        <v>1894.9069233091789</v>
      </c>
      <c r="W32" s="155">
        <f>'P&amp;L Forecast'!$G28/12</f>
        <v>1894.9069233091789</v>
      </c>
      <c r="X32" s="155">
        <f>'P&amp;L Forecast'!$G28/12</f>
        <v>1894.9069233091789</v>
      </c>
      <c r="Y32" s="155">
        <f>'P&amp;L Forecast'!$G28/12</f>
        <v>1894.9069233091789</v>
      </c>
      <c r="Z32" s="155">
        <f>'P&amp;L Forecast'!$G28/12</f>
        <v>1894.9069233091789</v>
      </c>
      <c r="AA32" s="155">
        <f>'P&amp;L Forecast'!$G28/12</f>
        <v>1894.9069233091789</v>
      </c>
      <c r="AB32" s="155">
        <f>'P&amp;L Forecast'!$H28/12</f>
        <v>2801.9238013285026</v>
      </c>
      <c r="AC32" s="155">
        <f>'P&amp;L Forecast'!$H28/12</f>
        <v>2801.9238013285026</v>
      </c>
      <c r="AD32" s="155">
        <f>'P&amp;L Forecast'!$H28/12</f>
        <v>2801.9238013285026</v>
      </c>
      <c r="AE32" s="155">
        <f>'P&amp;L Forecast'!$H28/12</f>
        <v>2801.9238013285026</v>
      </c>
      <c r="AF32" s="155">
        <f>'P&amp;L Forecast'!$H28/12</f>
        <v>2801.9238013285026</v>
      </c>
      <c r="AG32" s="155">
        <f>'P&amp;L Forecast'!$H28/12</f>
        <v>2801.9238013285026</v>
      </c>
      <c r="AH32" s="155">
        <f>'P&amp;L Forecast'!$H28/12</f>
        <v>2801.9238013285026</v>
      </c>
      <c r="AI32" s="155">
        <f>'P&amp;L Forecast'!$H28/12</f>
        <v>2801.9238013285026</v>
      </c>
      <c r="AJ32" s="155">
        <f>'P&amp;L Forecast'!$H28/12</f>
        <v>2801.9238013285026</v>
      </c>
      <c r="AK32" s="155">
        <f>'P&amp;L Forecast'!$H28/12</f>
        <v>2801.9238013285026</v>
      </c>
      <c r="AL32" s="155">
        <f>'P&amp;L Forecast'!$H28/12</f>
        <v>2801.9238013285026</v>
      </c>
      <c r="AM32" s="155">
        <f>'P&amp;L Forecast'!$H28/12</f>
        <v>2801.9238013285026</v>
      </c>
      <c r="AN32" s="155">
        <f>'P&amp;L Forecast'!$I28/12</f>
        <v>3360.0683737922704</v>
      </c>
      <c r="AO32" s="155">
        <f>'P&amp;L Forecast'!$I28/12</f>
        <v>3360.0683737922704</v>
      </c>
      <c r="AP32" s="155">
        <f>'P&amp;L Forecast'!$I28/12</f>
        <v>3360.0683737922704</v>
      </c>
      <c r="AQ32" s="155">
        <f>'P&amp;L Forecast'!$I28/12</f>
        <v>3360.0683737922704</v>
      </c>
      <c r="AR32" s="155">
        <f>'P&amp;L Forecast'!$I28/12</f>
        <v>3360.0683737922704</v>
      </c>
      <c r="AS32" s="155">
        <f>'P&amp;L Forecast'!$I28/12</f>
        <v>3360.0683737922704</v>
      </c>
      <c r="AT32" s="155">
        <f>'P&amp;L Forecast'!$I28/12</f>
        <v>3360.0683737922704</v>
      </c>
      <c r="AU32" s="155">
        <f>'P&amp;L Forecast'!$I28/12</f>
        <v>3360.0683737922704</v>
      </c>
      <c r="AV32" s="155">
        <f>'P&amp;L Forecast'!$I28/12</f>
        <v>3360.0683737922704</v>
      </c>
      <c r="AW32" s="155">
        <f>'P&amp;L Forecast'!$I28/12</f>
        <v>3360.0683737922704</v>
      </c>
      <c r="AX32" s="155">
        <f>'P&amp;L Forecast'!$I28/12</f>
        <v>3360.0683737922704</v>
      </c>
      <c r="AY32" s="155">
        <f>'P&amp;L Forecast'!$I28/12</f>
        <v>3360.0683737922704</v>
      </c>
      <c r="AZ32" s="155">
        <f>'P&amp;L Forecast'!$J28/12</f>
        <v>3772.4655490338168</v>
      </c>
      <c r="BA32" s="155">
        <f>'P&amp;L Forecast'!$J28/12</f>
        <v>3772.4655490338168</v>
      </c>
      <c r="BB32" s="155">
        <f>'P&amp;L Forecast'!$J28/12</f>
        <v>3772.4655490338168</v>
      </c>
      <c r="BC32" s="155">
        <f>'P&amp;L Forecast'!$J28/12</f>
        <v>3772.4655490338168</v>
      </c>
      <c r="BD32" s="155">
        <f>'P&amp;L Forecast'!$J28/12</f>
        <v>3772.4655490338168</v>
      </c>
      <c r="BE32" s="155">
        <f>'P&amp;L Forecast'!$J28/12</f>
        <v>3772.4655490338168</v>
      </c>
      <c r="BF32" s="155">
        <f>'P&amp;L Forecast'!$J28/12</f>
        <v>3772.4655490338168</v>
      </c>
      <c r="BG32" s="155">
        <f>'P&amp;L Forecast'!$J28/12</f>
        <v>3772.4655490338168</v>
      </c>
      <c r="BH32" s="155">
        <f>'P&amp;L Forecast'!$J28/12</f>
        <v>3772.4655490338168</v>
      </c>
      <c r="BI32" s="155">
        <f>'P&amp;L Forecast'!$J28/12</f>
        <v>3772.4655490338168</v>
      </c>
      <c r="BJ32" s="155">
        <f>'P&amp;L Forecast'!$J28/12</f>
        <v>3772.4655490338168</v>
      </c>
      <c r="BK32" s="155">
        <f>'P&amp;L Forecast'!$J28/12</f>
        <v>3772.4655490338168</v>
      </c>
      <c r="BL32" s="155">
        <f>+'P&amp;L Forecast'!K28</f>
        <v>43553.981784782605</v>
      </c>
      <c r="BM32" s="155">
        <f>+'P&amp;L Forecast'!L28</f>
        <v>40224.95777028986</v>
      </c>
      <c r="BN32" s="155">
        <f>+'P&amp;L Forecast'!M28</f>
        <v>36832.397830579714</v>
      </c>
    </row>
    <row r="33" spans="1:66" s="141" customFormat="1" x14ac:dyDescent="0.2">
      <c r="A33" s="138"/>
      <c r="B33" s="111"/>
      <c r="C33" s="111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33"/>
    </row>
    <row r="34" spans="1:66" s="141" customFormat="1" x14ac:dyDescent="0.2">
      <c r="A34" s="138"/>
      <c r="B34" s="11" t="str">
        <f>'P&amp;L Forecast'!C30</f>
        <v>Marketing &amp; sales</v>
      </c>
      <c r="C34" s="11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33"/>
    </row>
    <row r="35" spans="1:66" x14ac:dyDescent="0.2">
      <c r="B35" s="112" t="str">
        <f>'P&amp;L Forecast'!C31</f>
        <v>Marketing &amp; communication</v>
      </c>
      <c r="C35" s="155">
        <f>+'P&amp;L Forecast'!D31</f>
        <v>0</v>
      </c>
      <c r="D35" s="155">
        <f>+'P&amp;L Forecast'!$F31/12</f>
        <v>833.33333333333337</v>
      </c>
      <c r="E35" s="155">
        <f>+'P&amp;L Forecast'!$F31/12</f>
        <v>833.33333333333337</v>
      </c>
      <c r="F35" s="155">
        <f>+'P&amp;L Forecast'!$F31/12</f>
        <v>833.33333333333337</v>
      </c>
      <c r="G35" s="155">
        <f>+'P&amp;L Forecast'!$F31/12</f>
        <v>833.33333333333337</v>
      </c>
      <c r="H35" s="155">
        <f>+'P&amp;L Forecast'!$F31/12</f>
        <v>833.33333333333337</v>
      </c>
      <c r="I35" s="155">
        <f>+'P&amp;L Forecast'!$F31/12</f>
        <v>833.33333333333337</v>
      </c>
      <c r="J35" s="155">
        <f>+'P&amp;L Forecast'!$F31/12</f>
        <v>833.33333333333337</v>
      </c>
      <c r="K35" s="155">
        <f>+'P&amp;L Forecast'!$F31/12</f>
        <v>833.33333333333337</v>
      </c>
      <c r="L35" s="155">
        <f>+'P&amp;L Forecast'!$F31/12</f>
        <v>833.33333333333337</v>
      </c>
      <c r="M35" s="155">
        <f>+'P&amp;L Forecast'!$F31/12</f>
        <v>833.33333333333337</v>
      </c>
      <c r="N35" s="155">
        <f>+'P&amp;L Forecast'!$F31/12</f>
        <v>833.33333333333337</v>
      </c>
      <c r="O35" s="155">
        <f>+'P&amp;L Forecast'!$F31/12</f>
        <v>833.33333333333337</v>
      </c>
      <c r="P35" s="155">
        <f>+'P&amp;L Forecast'!$G31/12</f>
        <v>1666.6666666666667</v>
      </c>
      <c r="Q35" s="155">
        <f>+'P&amp;L Forecast'!$G31/12</f>
        <v>1666.6666666666667</v>
      </c>
      <c r="R35" s="155">
        <f>+'P&amp;L Forecast'!$G31/12</f>
        <v>1666.6666666666667</v>
      </c>
      <c r="S35" s="155">
        <f>+'P&amp;L Forecast'!$G31/12</f>
        <v>1666.6666666666667</v>
      </c>
      <c r="T35" s="155">
        <f>+'P&amp;L Forecast'!$G31/12</f>
        <v>1666.6666666666667</v>
      </c>
      <c r="U35" s="155">
        <f>+'P&amp;L Forecast'!$G31/12</f>
        <v>1666.6666666666667</v>
      </c>
      <c r="V35" s="155">
        <f>+'P&amp;L Forecast'!$G31/12</f>
        <v>1666.6666666666667</v>
      </c>
      <c r="W35" s="155">
        <f>+'P&amp;L Forecast'!$G31/12</f>
        <v>1666.6666666666667</v>
      </c>
      <c r="X35" s="155">
        <f>+'P&amp;L Forecast'!$G31/12</f>
        <v>1666.6666666666667</v>
      </c>
      <c r="Y35" s="155">
        <f>+'P&amp;L Forecast'!$G31/12</f>
        <v>1666.6666666666667</v>
      </c>
      <c r="Z35" s="155">
        <f>+'P&amp;L Forecast'!$G31/12</f>
        <v>1666.6666666666667</v>
      </c>
      <c r="AA35" s="155">
        <f>+'P&amp;L Forecast'!$G31/12</f>
        <v>1666.6666666666667</v>
      </c>
      <c r="AB35" s="155">
        <f>+'P&amp;L Forecast'!$H31/12</f>
        <v>2083.3333333333335</v>
      </c>
      <c r="AC35" s="155">
        <f>+'P&amp;L Forecast'!$H31/12</f>
        <v>2083.3333333333335</v>
      </c>
      <c r="AD35" s="155">
        <f>+'P&amp;L Forecast'!$H31/12</f>
        <v>2083.3333333333335</v>
      </c>
      <c r="AE35" s="155">
        <f>+'P&amp;L Forecast'!$H31/12</f>
        <v>2083.3333333333335</v>
      </c>
      <c r="AF35" s="155">
        <f>+'P&amp;L Forecast'!$H31/12</f>
        <v>2083.3333333333335</v>
      </c>
      <c r="AG35" s="155">
        <f>+'P&amp;L Forecast'!$H31/12</f>
        <v>2083.3333333333335</v>
      </c>
      <c r="AH35" s="155">
        <f>+'P&amp;L Forecast'!$H31/12</f>
        <v>2083.3333333333335</v>
      </c>
      <c r="AI35" s="155">
        <f>+'P&amp;L Forecast'!$H31/12</f>
        <v>2083.3333333333335</v>
      </c>
      <c r="AJ35" s="155">
        <f>+'P&amp;L Forecast'!$H31/12</f>
        <v>2083.3333333333335</v>
      </c>
      <c r="AK35" s="155">
        <f>+'P&amp;L Forecast'!$H31/12</f>
        <v>2083.3333333333335</v>
      </c>
      <c r="AL35" s="155">
        <f>+'P&amp;L Forecast'!$H31/12</f>
        <v>2083.3333333333335</v>
      </c>
      <c r="AM35" s="155">
        <f>+'P&amp;L Forecast'!$H31/12</f>
        <v>2083.3333333333335</v>
      </c>
      <c r="AN35" s="155">
        <f>+'P&amp;L Forecast'!$I31/12</f>
        <v>2083.3333333333335</v>
      </c>
      <c r="AO35" s="155">
        <f>+'P&amp;L Forecast'!$I31/12</f>
        <v>2083.3333333333335</v>
      </c>
      <c r="AP35" s="155">
        <f>+'P&amp;L Forecast'!$I31/12</f>
        <v>2083.3333333333335</v>
      </c>
      <c r="AQ35" s="155">
        <f>+'P&amp;L Forecast'!$I31/12</f>
        <v>2083.3333333333335</v>
      </c>
      <c r="AR35" s="155">
        <f>+'P&amp;L Forecast'!$I31/12</f>
        <v>2083.3333333333335</v>
      </c>
      <c r="AS35" s="155">
        <f>+'P&amp;L Forecast'!$I31/12</f>
        <v>2083.3333333333335</v>
      </c>
      <c r="AT35" s="155">
        <f>+'P&amp;L Forecast'!$I31/12</f>
        <v>2083.3333333333335</v>
      </c>
      <c r="AU35" s="155">
        <f>+'P&amp;L Forecast'!$I31/12</f>
        <v>2083.3333333333335</v>
      </c>
      <c r="AV35" s="155">
        <f>+'P&amp;L Forecast'!$I31/12</f>
        <v>2083.3333333333335</v>
      </c>
      <c r="AW35" s="155">
        <f>+'P&amp;L Forecast'!$I31/12</f>
        <v>2083.3333333333335</v>
      </c>
      <c r="AX35" s="155">
        <f>+'P&amp;L Forecast'!$I31/12</f>
        <v>2083.3333333333335</v>
      </c>
      <c r="AY35" s="155">
        <f>+'P&amp;L Forecast'!$I31/12</f>
        <v>2083.3333333333335</v>
      </c>
      <c r="AZ35" s="155">
        <f>+'P&amp;L Forecast'!$J31/12</f>
        <v>2083.3333333333335</v>
      </c>
      <c r="BA35" s="155">
        <f>+'P&amp;L Forecast'!$J31/12</f>
        <v>2083.3333333333335</v>
      </c>
      <c r="BB35" s="155">
        <f>+'P&amp;L Forecast'!$J31/12</f>
        <v>2083.3333333333335</v>
      </c>
      <c r="BC35" s="155">
        <f>+'P&amp;L Forecast'!$J31/12</f>
        <v>2083.3333333333335</v>
      </c>
      <c r="BD35" s="155">
        <f>+'P&amp;L Forecast'!$J31/12</f>
        <v>2083.3333333333335</v>
      </c>
      <c r="BE35" s="155">
        <f>+'P&amp;L Forecast'!$J31/12</f>
        <v>2083.3333333333335</v>
      </c>
      <c r="BF35" s="155">
        <f>+'P&amp;L Forecast'!$J31/12</f>
        <v>2083.3333333333335</v>
      </c>
      <c r="BG35" s="155">
        <f>+'P&amp;L Forecast'!$J31/12</f>
        <v>2083.3333333333335</v>
      </c>
      <c r="BH35" s="155">
        <f>+'P&amp;L Forecast'!$J31/12</f>
        <v>2083.3333333333335</v>
      </c>
      <c r="BI35" s="155">
        <f>+'P&amp;L Forecast'!$J31/12</f>
        <v>2083.3333333333335</v>
      </c>
      <c r="BJ35" s="155">
        <f>+'P&amp;L Forecast'!$J31/12</f>
        <v>2083.3333333333335</v>
      </c>
      <c r="BK35" s="155">
        <f>+'P&amp;L Forecast'!$J31/12</f>
        <v>2083.3333333333335</v>
      </c>
      <c r="BL35" s="155">
        <f>+'P&amp;L Forecast'!K31</f>
        <v>25000</v>
      </c>
      <c r="BM35" s="155">
        <f>+'P&amp;L Forecast'!L31</f>
        <v>25000</v>
      </c>
      <c r="BN35" s="155">
        <f>+'P&amp;L Forecast'!M31</f>
        <v>25000</v>
      </c>
    </row>
    <row r="36" spans="1:66" x14ac:dyDescent="0.2">
      <c r="B36" s="112" t="str">
        <f>'P&amp;L Forecast'!C32</f>
        <v xml:space="preserve">Sales collection </v>
      </c>
      <c r="C36" s="155">
        <f>+'P&amp;L Forecast'!D32</f>
        <v>0</v>
      </c>
      <c r="D36" s="155">
        <f>+'P&amp;L Forecast'!$F32/12</f>
        <v>130.19021739130434</v>
      </c>
      <c r="E36" s="155">
        <f>+'P&amp;L Forecast'!$F32/12</f>
        <v>130.19021739130434</v>
      </c>
      <c r="F36" s="155">
        <f>+'P&amp;L Forecast'!$F32/12</f>
        <v>130.19021739130434</v>
      </c>
      <c r="G36" s="155">
        <f>+'P&amp;L Forecast'!$F32/12</f>
        <v>130.19021739130434</v>
      </c>
      <c r="H36" s="155">
        <f>+'P&amp;L Forecast'!$F32/12</f>
        <v>130.19021739130434</v>
      </c>
      <c r="I36" s="155">
        <f>+'P&amp;L Forecast'!$F32/12</f>
        <v>130.19021739130434</v>
      </c>
      <c r="J36" s="155">
        <f>+'P&amp;L Forecast'!$F32/12</f>
        <v>130.19021739130434</v>
      </c>
      <c r="K36" s="155">
        <f>+'P&amp;L Forecast'!$F32/12</f>
        <v>130.19021739130434</v>
      </c>
      <c r="L36" s="155">
        <f>+'P&amp;L Forecast'!$F32/12</f>
        <v>130.19021739130434</v>
      </c>
      <c r="M36" s="155">
        <f>+'P&amp;L Forecast'!$F32/12</f>
        <v>130.19021739130434</v>
      </c>
      <c r="N36" s="155">
        <f>+'P&amp;L Forecast'!$F32/12</f>
        <v>130.19021739130434</v>
      </c>
      <c r="O36" s="155">
        <f>+'P&amp;L Forecast'!$F32/12</f>
        <v>130.19021739130434</v>
      </c>
      <c r="P36" s="155">
        <f>+'P&amp;L Forecast'!$G32/12</f>
        <v>248.57608695652183</v>
      </c>
      <c r="Q36" s="155">
        <f>+'P&amp;L Forecast'!$G32/12</f>
        <v>248.57608695652183</v>
      </c>
      <c r="R36" s="155">
        <f>+'P&amp;L Forecast'!$G32/12</f>
        <v>248.57608695652183</v>
      </c>
      <c r="S36" s="155">
        <f>+'P&amp;L Forecast'!$G32/12</f>
        <v>248.57608695652183</v>
      </c>
      <c r="T36" s="155">
        <f>+'P&amp;L Forecast'!$G32/12</f>
        <v>248.57608695652183</v>
      </c>
      <c r="U36" s="155">
        <f>+'P&amp;L Forecast'!$G32/12</f>
        <v>248.57608695652183</v>
      </c>
      <c r="V36" s="155">
        <f>+'P&amp;L Forecast'!$G32/12</f>
        <v>248.57608695652183</v>
      </c>
      <c r="W36" s="155">
        <f>+'P&amp;L Forecast'!$G32/12</f>
        <v>248.57608695652183</v>
      </c>
      <c r="X36" s="155">
        <f>+'P&amp;L Forecast'!$G32/12</f>
        <v>248.57608695652183</v>
      </c>
      <c r="Y36" s="155">
        <f>+'P&amp;L Forecast'!$G32/12</f>
        <v>248.57608695652183</v>
      </c>
      <c r="Z36" s="155">
        <f>+'P&amp;L Forecast'!$G32/12</f>
        <v>248.57608695652183</v>
      </c>
      <c r="AA36" s="155">
        <f>+'P&amp;L Forecast'!$G32/12</f>
        <v>248.57608695652183</v>
      </c>
      <c r="AB36" s="155">
        <f>+'P&amp;L Forecast'!$H32/12</f>
        <v>475.70478260869578</v>
      </c>
      <c r="AC36" s="155">
        <f>+'P&amp;L Forecast'!$H32/12</f>
        <v>475.70478260869578</v>
      </c>
      <c r="AD36" s="155">
        <f>+'P&amp;L Forecast'!$H32/12</f>
        <v>475.70478260869578</v>
      </c>
      <c r="AE36" s="155">
        <f>+'P&amp;L Forecast'!$H32/12</f>
        <v>475.70478260869578</v>
      </c>
      <c r="AF36" s="155">
        <f>+'P&amp;L Forecast'!$H32/12</f>
        <v>475.70478260869578</v>
      </c>
      <c r="AG36" s="155">
        <f>+'P&amp;L Forecast'!$H32/12</f>
        <v>475.70478260869578</v>
      </c>
      <c r="AH36" s="155">
        <f>+'P&amp;L Forecast'!$H32/12</f>
        <v>475.70478260869578</v>
      </c>
      <c r="AI36" s="155">
        <f>+'P&amp;L Forecast'!$H32/12</f>
        <v>475.70478260869578</v>
      </c>
      <c r="AJ36" s="155">
        <f>+'P&amp;L Forecast'!$H32/12</f>
        <v>475.70478260869578</v>
      </c>
      <c r="AK36" s="155">
        <f>+'P&amp;L Forecast'!$H32/12</f>
        <v>475.70478260869578</v>
      </c>
      <c r="AL36" s="155">
        <f>+'P&amp;L Forecast'!$H32/12</f>
        <v>475.70478260869578</v>
      </c>
      <c r="AM36" s="155">
        <f>+'P&amp;L Forecast'!$H32/12</f>
        <v>475.70478260869578</v>
      </c>
      <c r="AN36" s="155">
        <f>+'P&amp;L Forecast'!$I32/12</f>
        <v>702.87970108695663</v>
      </c>
      <c r="AO36" s="155">
        <f>+'P&amp;L Forecast'!$I32/12</f>
        <v>702.87970108695663</v>
      </c>
      <c r="AP36" s="155">
        <f>+'P&amp;L Forecast'!$I32/12</f>
        <v>702.87970108695663</v>
      </c>
      <c r="AQ36" s="155">
        <f>+'P&amp;L Forecast'!$I32/12</f>
        <v>702.87970108695663</v>
      </c>
      <c r="AR36" s="155">
        <f>+'P&amp;L Forecast'!$I32/12</f>
        <v>702.87970108695663</v>
      </c>
      <c r="AS36" s="155">
        <f>+'P&amp;L Forecast'!$I32/12</f>
        <v>702.87970108695663</v>
      </c>
      <c r="AT36" s="155">
        <f>+'P&amp;L Forecast'!$I32/12</f>
        <v>702.87970108695663</v>
      </c>
      <c r="AU36" s="155">
        <f>+'P&amp;L Forecast'!$I32/12</f>
        <v>702.87970108695663</v>
      </c>
      <c r="AV36" s="155">
        <f>+'P&amp;L Forecast'!$I32/12</f>
        <v>702.87970108695663</v>
      </c>
      <c r="AW36" s="155">
        <f>+'P&amp;L Forecast'!$I32/12</f>
        <v>702.87970108695663</v>
      </c>
      <c r="AX36" s="155">
        <f>+'P&amp;L Forecast'!$I32/12</f>
        <v>702.87970108695663</v>
      </c>
      <c r="AY36" s="155">
        <f>+'P&amp;L Forecast'!$I32/12</f>
        <v>702.87970108695663</v>
      </c>
      <c r="AZ36" s="155">
        <f>+'P&amp;L Forecast'!$J32/12</f>
        <v>1004.1799188179351</v>
      </c>
      <c r="BA36" s="155">
        <f>+'P&amp;L Forecast'!$J32/12</f>
        <v>1004.1799188179351</v>
      </c>
      <c r="BB36" s="155">
        <f>+'P&amp;L Forecast'!$J32/12</f>
        <v>1004.1799188179351</v>
      </c>
      <c r="BC36" s="155">
        <f>+'P&amp;L Forecast'!$J32/12</f>
        <v>1004.1799188179351</v>
      </c>
      <c r="BD36" s="155">
        <f>+'P&amp;L Forecast'!$J32/12</f>
        <v>1004.1799188179351</v>
      </c>
      <c r="BE36" s="155">
        <f>+'P&amp;L Forecast'!$J32/12</f>
        <v>1004.1799188179351</v>
      </c>
      <c r="BF36" s="155">
        <f>+'P&amp;L Forecast'!$J32/12</f>
        <v>1004.1799188179351</v>
      </c>
      <c r="BG36" s="155">
        <f>+'P&amp;L Forecast'!$J32/12</f>
        <v>1004.1799188179351</v>
      </c>
      <c r="BH36" s="155">
        <f>+'P&amp;L Forecast'!$J32/12</f>
        <v>1004.1799188179351</v>
      </c>
      <c r="BI36" s="155">
        <f>+'P&amp;L Forecast'!$J32/12</f>
        <v>1004.1799188179351</v>
      </c>
      <c r="BJ36" s="155">
        <f>+'P&amp;L Forecast'!$J32/12</f>
        <v>1004.1799188179351</v>
      </c>
      <c r="BK36" s="155">
        <f>+'P&amp;L Forecast'!$J32/12</f>
        <v>1004.1799188179351</v>
      </c>
      <c r="BL36" s="155">
        <f>+'P&amp;L Forecast'!K32</f>
        <v>14592.89240461957</v>
      </c>
      <c r="BM36" s="155">
        <f>+'P&amp;L Forecast'!L32</f>
        <v>15322.53702485055</v>
      </c>
      <c r="BN36" s="155">
        <f>+'P&amp;L Forecast'!M32</f>
        <v>16088.663876093078</v>
      </c>
    </row>
    <row r="37" spans="1:66" x14ac:dyDescent="0.2">
      <c r="B37" s="112"/>
      <c r="C37" s="112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</row>
    <row r="38" spans="1:66" x14ac:dyDescent="0.2">
      <c r="B38" s="11" t="str">
        <f>'P&amp;L Forecast'!C34</f>
        <v>Labour costs</v>
      </c>
      <c r="C38" s="155">
        <f>+'P&amp;L Forecast'!D34-'Labour '!C20</f>
        <v>7539.1304347826081</v>
      </c>
      <c r="D38" s="155">
        <f>'P&amp;L Forecast'!$F34/12</f>
        <v>7476.811594202899</v>
      </c>
      <c r="E38" s="155">
        <f>'P&amp;L Forecast'!$F34/12</f>
        <v>7476.811594202899</v>
      </c>
      <c r="F38" s="155">
        <f>'P&amp;L Forecast'!$F34/12</f>
        <v>7476.811594202899</v>
      </c>
      <c r="G38" s="155">
        <f>'P&amp;L Forecast'!$F34/12</f>
        <v>7476.811594202899</v>
      </c>
      <c r="H38" s="155">
        <f>'P&amp;L Forecast'!$F34/12</f>
        <v>7476.811594202899</v>
      </c>
      <c r="I38" s="155">
        <f>'P&amp;L Forecast'!$F34/12</f>
        <v>7476.811594202899</v>
      </c>
      <c r="J38" s="155">
        <f>'P&amp;L Forecast'!$F34/12+'Balance Sheet'!C27</f>
        <v>43626.811594202896</v>
      </c>
      <c r="K38" s="155">
        <f>'P&amp;L Forecast'!$F34/12</f>
        <v>7476.811594202899</v>
      </c>
      <c r="L38" s="155">
        <f>'P&amp;L Forecast'!$F34/12</f>
        <v>7476.811594202899</v>
      </c>
      <c r="M38" s="155">
        <f>'P&amp;L Forecast'!$F34/12</f>
        <v>7476.811594202899</v>
      </c>
      <c r="N38" s="155">
        <f>'P&amp;L Forecast'!$F34/12</f>
        <v>7476.811594202899</v>
      </c>
      <c r="O38" s="155">
        <f>'P&amp;L Forecast'!$F34/12</f>
        <v>7476.811594202899</v>
      </c>
      <c r="P38" s="155">
        <f>'P&amp;L Forecast'!$G34/12</f>
        <v>12522.572463768118</v>
      </c>
      <c r="Q38" s="155">
        <f>'P&amp;L Forecast'!$G34/12</f>
        <v>12522.572463768118</v>
      </c>
      <c r="R38" s="155">
        <f>'P&amp;L Forecast'!$G34/12</f>
        <v>12522.572463768118</v>
      </c>
      <c r="S38" s="155">
        <f>'P&amp;L Forecast'!$G34/12</f>
        <v>12522.572463768118</v>
      </c>
      <c r="T38" s="155">
        <f>'P&amp;L Forecast'!$G34/12</f>
        <v>12522.572463768118</v>
      </c>
      <c r="U38" s="155">
        <f>'P&amp;L Forecast'!$G34/12</f>
        <v>12522.572463768118</v>
      </c>
      <c r="V38" s="155">
        <f>'P&amp;L Forecast'!$G34/12</f>
        <v>12522.572463768118</v>
      </c>
      <c r="W38" s="155">
        <f>'P&amp;L Forecast'!$G34/12</f>
        <v>12522.572463768118</v>
      </c>
      <c r="X38" s="155">
        <f>'P&amp;L Forecast'!$G34/12</f>
        <v>12522.572463768118</v>
      </c>
      <c r="Y38" s="155">
        <f>'P&amp;L Forecast'!$G34/12</f>
        <v>12522.572463768118</v>
      </c>
      <c r="Z38" s="155">
        <f>'P&amp;L Forecast'!$G34/12</f>
        <v>12522.572463768118</v>
      </c>
      <c r="AA38" s="155">
        <f>'P&amp;L Forecast'!$G34/12</f>
        <v>12522.572463768118</v>
      </c>
      <c r="AB38" s="155">
        <f>'P&amp;L Forecast'!$H34/12</f>
        <v>13130.947463768118</v>
      </c>
      <c r="AC38" s="155">
        <f>'P&amp;L Forecast'!$H34/12</f>
        <v>13130.947463768118</v>
      </c>
      <c r="AD38" s="155">
        <f>'P&amp;L Forecast'!$H34/12</f>
        <v>13130.947463768118</v>
      </c>
      <c r="AE38" s="155">
        <f>'P&amp;L Forecast'!$H34/12</f>
        <v>13130.947463768118</v>
      </c>
      <c r="AF38" s="155">
        <f>'P&amp;L Forecast'!$H34/12</f>
        <v>13130.947463768118</v>
      </c>
      <c r="AG38" s="155">
        <f>'P&amp;L Forecast'!$H34/12</f>
        <v>13130.947463768118</v>
      </c>
      <c r="AH38" s="155">
        <f>'P&amp;L Forecast'!$H34/12</f>
        <v>13130.947463768118</v>
      </c>
      <c r="AI38" s="155">
        <f>'P&amp;L Forecast'!$H34/12</f>
        <v>13130.947463768118</v>
      </c>
      <c r="AJ38" s="155">
        <f>'P&amp;L Forecast'!$H34/12</f>
        <v>13130.947463768118</v>
      </c>
      <c r="AK38" s="155">
        <f>'P&amp;L Forecast'!$H34/12</f>
        <v>13130.947463768118</v>
      </c>
      <c r="AL38" s="155">
        <f>'P&amp;L Forecast'!$H34/12</f>
        <v>13130.947463768118</v>
      </c>
      <c r="AM38" s="155">
        <f>'P&amp;L Forecast'!$H34/12</f>
        <v>13130.947463768118</v>
      </c>
      <c r="AN38" s="155">
        <f>'P&amp;L Forecast'!$I34/12</f>
        <v>12618.110778985509</v>
      </c>
      <c r="AO38" s="155">
        <f>'P&amp;L Forecast'!$I34/12</f>
        <v>12618.110778985509</v>
      </c>
      <c r="AP38" s="155">
        <f>'P&amp;L Forecast'!$I34/12</f>
        <v>12618.110778985509</v>
      </c>
      <c r="AQ38" s="155">
        <f>'P&amp;L Forecast'!$I34/12</f>
        <v>12618.110778985509</v>
      </c>
      <c r="AR38" s="155">
        <f>'P&amp;L Forecast'!$I34/12</f>
        <v>12618.110778985509</v>
      </c>
      <c r="AS38" s="155">
        <f>'P&amp;L Forecast'!$I34/12</f>
        <v>12618.110778985509</v>
      </c>
      <c r="AT38" s="155">
        <f>'P&amp;L Forecast'!$I34/12</f>
        <v>12618.110778985509</v>
      </c>
      <c r="AU38" s="155">
        <f>'P&amp;L Forecast'!$I34/12</f>
        <v>12618.110778985509</v>
      </c>
      <c r="AV38" s="155">
        <f>'P&amp;L Forecast'!$I34/12</f>
        <v>12618.110778985509</v>
      </c>
      <c r="AW38" s="155">
        <f>'P&amp;L Forecast'!$I34/12</f>
        <v>12618.110778985509</v>
      </c>
      <c r="AX38" s="155">
        <f>'P&amp;L Forecast'!$I34/12</f>
        <v>12618.110778985509</v>
      </c>
      <c r="AY38" s="155">
        <f>'P&amp;L Forecast'!$I34/12</f>
        <v>12618.110778985509</v>
      </c>
      <c r="AZ38" s="155">
        <f>'P&amp;L Forecast'!$J34/12</f>
        <v>12867.13225996377</v>
      </c>
      <c r="BA38" s="155">
        <f>'P&amp;L Forecast'!$J34/12</f>
        <v>12867.13225996377</v>
      </c>
      <c r="BB38" s="155">
        <f>'P&amp;L Forecast'!$J34/12</f>
        <v>12867.13225996377</v>
      </c>
      <c r="BC38" s="155">
        <f>'P&amp;L Forecast'!$J34/12</f>
        <v>12867.13225996377</v>
      </c>
      <c r="BD38" s="155">
        <f>'P&amp;L Forecast'!$J34/12</f>
        <v>12867.13225996377</v>
      </c>
      <c r="BE38" s="155">
        <f>'P&amp;L Forecast'!$J34/12</f>
        <v>12867.13225996377</v>
      </c>
      <c r="BF38" s="155">
        <f>'P&amp;L Forecast'!$J34/12</f>
        <v>12867.13225996377</v>
      </c>
      <c r="BG38" s="155">
        <f>'P&amp;L Forecast'!$J34/12</f>
        <v>12867.13225996377</v>
      </c>
      <c r="BH38" s="155">
        <f>'P&amp;L Forecast'!$J34/12</f>
        <v>12867.13225996377</v>
      </c>
      <c r="BI38" s="155">
        <f>'P&amp;L Forecast'!$J34/12</f>
        <v>12867.13225996377</v>
      </c>
      <c r="BJ38" s="155">
        <f>'P&amp;L Forecast'!$J34/12</f>
        <v>12867.13225996377</v>
      </c>
      <c r="BK38" s="155">
        <f>'P&amp;L Forecast'!$J34/12</f>
        <v>12867.13225996377</v>
      </c>
      <c r="BL38" s="155">
        <f>+'P&amp;L Forecast'!K34</f>
        <v>158325.86647554347</v>
      </c>
      <c r="BM38" s="155">
        <f>+'P&amp;L Forecast'!L34</f>
        <v>162442.15979932068</v>
      </c>
      <c r="BN38" s="155">
        <f>+'P&amp;L Forecast'!M34</f>
        <v>166764.26778928671</v>
      </c>
    </row>
    <row r="39" spans="1:66" x14ac:dyDescent="0.2">
      <c r="B39" s="112"/>
      <c r="C39" s="112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</row>
    <row r="40" spans="1:66" x14ac:dyDescent="0.2">
      <c r="B40" s="11" t="str">
        <f>'P&amp;L Forecast'!C36</f>
        <v>Overhead costs</v>
      </c>
      <c r="C40" s="155">
        <f>+'P&amp;L Forecast'!D36</f>
        <v>21274.080000000002</v>
      </c>
      <c r="D40" s="155">
        <f>'P&amp;L Forecast'!$F36/12</f>
        <v>5436.666666666667</v>
      </c>
      <c r="E40" s="155">
        <f>'P&amp;L Forecast'!$F36/12</f>
        <v>5436.666666666667</v>
      </c>
      <c r="F40" s="155">
        <f>'P&amp;L Forecast'!$F36/12</f>
        <v>5436.666666666667</v>
      </c>
      <c r="G40" s="155">
        <f>'P&amp;L Forecast'!$F36/12</f>
        <v>5436.666666666667</v>
      </c>
      <c r="H40" s="155">
        <f>'P&amp;L Forecast'!$F36/12</f>
        <v>5436.666666666667</v>
      </c>
      <c r="I40" s="155">
        <f>'P&amp;L Forecast'!$F36/12</f>
        <v>5436.666666666667</v>
      </c>
      <c r="J40" s="155">
        <f>'P&amp;L Forecast'!$F36/12</f>
        <v>5436.666666666667</v>
      </c>
      <c r="K40" s="155">
        <f>'P&amp;L Forecast'!$F36/12</f>
        <v>5436.666666666667</v>
      </c>
      <c r="L40" s="155">
        <f>'P&amp;L Forecast'!$F36/12</f>
        <v>5436.666666666667</v>
      </c>
      <c r="M40" s="155">
        <f>'P&amp;L Forecast'!$F36/12</f>
        <v>5436.666666666667</v>
      </c>
      <c r="N40" s="155">
        <f>'P&amp;L Forecast'!$F36/12</f>
        <v>5436.666666666667</v>
      </c>
      <c r="O40" s="155">
        <f>'P&amp;L Forecast'!$F36/12</f>
        <v>5436.666666666667</v>
      </c>
      <c r="P40" s="155">
        <f>'P&amp;L Forecast'!$G36/12</f>
        <v>6249.916666666667</v>
      </c>
      <c r="Q40" s="155">
        <f>'P&amp;L Forecast'!$G36/12</f>
        <v>6249.916666666667</v>
      </c>
      <c r="R40" s="155">
        <f>'P&amp;L Forecast'!$G36/12</f>
        <v>6249.916666666667</v>
      </c>
      <c r="S40" s="155">
        <f>'P&amp;L Forecast'!$G36/12</f>
        <v>6249.916666666667</v>
      </c>
      <c r="T40" s="155">
        <f>'P&amp;L Forecast'!$G36/12</f>
        <v>6249.916666666667</v>
      </c>
      <c r="U40" s="155">
        <f>'P&amp;L Forecast'!$G36/12</f>
        <v>6249.916666666667</v>
      </c>
      <c r="V40" s="155">
        <f>'P&amp;L Forecast'!$G36/12</f>
        <v>6249.916666666667</v>
      </c>
      <c r="W40" s="155">
        <f>'P&amp;L Forecast'!$G36/12</f>
        <v>6249.916666666667</v>
      </c>
      <c r="X40" s="155">
        <f>'P&amp;L Forecast'!$G36/12</f>
        <v>6249.916666666667</v>
      </c>
      <c r="Y40" s="155">
        <f>'P&amp;L Forecast'!$G36/12</f>
        <v>6249.916666666667</v>
      </c>
      <c r="Z40" s="155">
        <f>'P&amp;L Forecast'!$G36/12</f>
        <v>6249.916666666667</v>
      </c>
      <c r="AA40" s="155">
        <f>'P&amp;L Forecast'!$G36/12</f>
        <v>6249.916666666667</v>
      </c>
      <c r="AB40" s="155">
        <f>'P&amp;L Forecast'!$H36/12</f>
        <v>7203.4395833333338</v>
      </c>
      <c r="AC40" s="155">
        <f>'P&amp;L Forecast'!$H36/12</f>
        <v>7203.4395833333338</v>
      </c>
      <c r="AD40" s="155">
        <f>'P&amp;L Forecast'!$H36/12</f>
        <v>7203.4395833333338</v>
      </c>
      <c r="AE40" s="155">
        <f>'P&amp;L Forecast'!$H36/12</f>
        <v>7203.4395833333338</v>
      </c>
      <c r="AF40" s="155">
        <f>'P&amp;L Forecast'!$H36/12</f>
        <v>7203.4395833333338</v>
      </c>
      <c r="AG40" s="155">
        <f>'P&amp;L Forecast'!$H36/12</f>
        <v>7203.4395833333338</v>
      </c>
      <c r="AH40" s="155">
        <f>'P&amp;L Forecast'!$H36/12</f>
        <v>7203.4395833333338</v>
      </c>
      <c r="AI40" s="155">
        <f>'P&amp;L Forecast'!$H36/12</f>
        <v>7203.4395833333338</v>
      </c>
      <c r="AJ40" s="155">
        <f>'P&amp;L Forecast'!$H36/12</f>
        <v>7203.4395833333338</v>
      </c>
      <c r="AK40" s="155">
        <f>'P&amp;L Forecast'!$H36/12</f>
        <v>7203.4395833333338</v>
      </c>
      <c r="AL40" s="155">
        <f>'P&amp;L Forecast'!$H36/12</f>
        <v>7203.4395833333338</v>
      </c>
      <c r="AM40" s="155">
        <f>'P&amp;L Forecast'!$H36/12</f>
        <v>7203.4395833333338</v>
      </c>
      <c r="AN40" s="155">
        <f>'P&amp;L Forecast'!$I36/12</f>
        <v>7899.8969791666668</v>
      </c>
      <c r="AO40" s="155">
        <f>'P&amp;L Forecast'!$I36/12</f>
        <v>7899.8969791666668</v>
      </c>
      <c r="AP40" s="155">
        <f>'P&amp;L Forecast'!$I36/12</f>
        <v>7899.8969791666668</v>
      </c>
      <c r="AQ40" s="155">
        <f>'P&amp;L Forecast'!$I36/12</f>
        <v>7899.8969791666668</v>
      </c>
      <c r="AR40" s="155">
        <f>'P&amp;L Forecast'!$I36/12</f>
        <v>7899.8969791666668</v>
      </c>
      <c r="AS40" s="155">
        <f>'P&amp;L Forecast'!$I36/12</f>
        <v>7899.8969791666668</v>
      </c>
      <c r="AT40" s="155">
        <f>'P&amp;L Forecast'!$I36/12</f>
        <v>7899.8969791666668</v>
      </c>
      <c r="AU40" s="155">
        <f>'P&amp;L Forecast'!$I36/12</f>
        <v>7899.8969791666668</v>
      </c>
      <c r="AV40" s="155">
        <f>'P&amp;L Forecast'!$I36/12</f>
        <v>7899.8969791666668</v>
      </c>
      <c r="AW40" s="155">
        <f>'P&amp;L Forecast'!$I36/12</f>
        <v>7899.8969791666668</v>
      </c>
      <c r="AX40" s="155">
        <f>'P&amp;L Forecast'!$I36/12</f>
        <v>7899.8969791666668</v>
      </c>
      <c r="AY40" s="155">
        <f>'P&amp;L Forecast'!$I36/12</f>
        <v>7899.8969791666668</v>
      </c>
      <c r="AZ40" s="155">
        <f>'P&amp;L Forecast'!$J36/12</f>
        <v>7921.7203041666662</v>
      </c>
      <c r="BA40" s="155">
        <f>'P&amp;L Forecast'!$J36/12</f>
        <v>7921.7203041666662</v>
      </c>
      <c r="BB40" s="155">
        <f>'P&amp;L Forecast'!$J36/12</f>
        <v>7921.7203041666662</v>
      </c>
      <c r="BC40" s="155">
        <f>'P&amp;L Forecast'!$J36/12</f>
        <v>7921.7203041666662</v>
      </c>
      <c r="BD40" s="155">
        <f>'P&amp;L Forecast'!$J36/12</f>
        <v>7921.7203041666662</v>
      </c>
      <c r="BE40" s="155">
        <f>'P&amp;L Forecast'!$J36/12</f>
        <v>7921.7203041666662</v>
      </c>
      <c r="BF40" s="155">
        <f>'P&amp;L Forecast'!$J36/12</f>
        <v>7921.7203041666662</v>
      </c>
      <c r="BG40" s="155">
        <f>'P&amp;L Forecast'!$J36/12</f>
        <v>7921.7203041666662</v>
      </c>
      <c r="BH40" s="155">
        <f>'P&amp;L Forecast'!$J36/12</f>
        <v>7921.7203041666662</v>
      </c>
      <c r="BI40" s="155">
        <f>'P&amp;L Forecast'!$J36/12</f>
        <v>7921.7203041666662</v>
      </c>
      <c r="BJ40" s="155">
        <f>'P&amp;L Forecast'!$J36/12</f>
        <v>7921.7203041666662</v>
      </c>
      <c r="BK40" s="155">
        <f>'P&amp;L Forecast'!$J36/12</f>
        <v>7921.7203041666662</v>
      </c>
      <c r="BL40" s="155">
        <f>+'P&amp;L Forecast'!K36</f>
        <v>95327.761148000005</v>
      </c>
      <c r="BM40" s="155">
        <f>+'P&amp;L Forecast'!L36</f>
        <v>95600.22099596</v>
      </c>
      <c r="BN40" s="155">
        <f>+'P&amp;L Forecast'!M36</f>
        <v>95878.130040879201</v>
      </c>
    </row>
    <row r="41" spans="1:66" s="141" customFormat="1" x14ac:dyDescent="0.2">
      <c r="A41" s="138"/>
      <c r="B41" s="22"/>
      <c r="C41" s="22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55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33"/>
    </row>
    <row r="42" spans="1:66" s="141" customFormat="1" x14ac:dyDescent="0.2">
      <c r="A42" s="138"/>
      <c r="B42" s="157" t="s">
        <v>114</v>
      </c>
      <c r="C42" s="155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33"/>
      <c r="BM42" s="133"/>
      <c r="BN42" s="133"/>
    </row>
    <row r="43" spans="1:66" s="141" customFormat="1" x14ac:dyDescent="0.2">
      <c r="A43" s="138"/>
      <c r="B43" s="112" t="str">
        <f>Assets!C15</f>
        <v>Land &amp; buildings</v>
      </c>
      <c r="C43" s="155">
        <f>+Assets!G26</f>
        <v>0</v>
      </c>
      <c r="E43" s="140"/>
      <c r="F43" s="155">
        <f>+Assets!$H26</f>
        <v>112500</v>
      </c>
      <c r="H43" s="140"/>
      <c r="I43" s="140"/>
      <c r="K43" s="140"/>
      <c r="L43" s="140"/>
      <c r="M43" s="140"/>
      <c r="N43" s="140"/>
      <c r="O43" s="140"/>
      <c r="P43" s="155">
        <f>Assets!$I26</f>
        <v>37500</v>
      </c>
      <c r="Q43" s="140"/>
      <c r="R43" s="140"/>
      <c r="S43" s="140"/>
      <c r="U43" s="140"/>
      <c r="V43" s="140"/>
      <c r="W43" s="140"/>
      <c r="X43" s="140"/>
      <c r="Y43" s="140"/>
      <c r="Z43" s="140"/>
      <c r="AA43" s="140"/>
      <c r="AB43" s="155">
        <f>Assets!$J26</f>
        <v>32500</v>
      </c>
      <c r="AC43" s="140"/>
      <c r="AD43" s="140"/>
      <c r="AE43" s="140"/>
      <c r="AG43" s="140"/>
      <c r="AI43" s="140"/>
      <c r="AJ43" s="140"/>
      <c r="AK43" s="140"/>
      <c r="AL43" s="140"/>
      <c r="AM43" s="140"/>
      <c r="AN43" s="155">
        <f>+Assets!$K26</f>
        <v>32500</v>
      </c>
      <c r="AO43" s="140"/>
      <c r="AP43" s="140"/>
      <c r="AQ43" s="140"/>
      <c r="AR43" s="140"/>
      <c r="AS43" s="155"/>
      <c r="AT43" s="140"/>
      <c r="AU43" s="140"/>
      <c r="AV43" s="140"/>
      <c r="AW43" s="140"/>
      <c r="AX43" s="140"/>
      <c r="AY43" s="140"/>
      <c r="AZ43" s="155">
        <f>+Assets!$L26</f>
        <v>22500</v>
      </c>
      <c r="BA43" s="140"/>
      <c r="BB43" s="140"/>
      <c r="BC43" s="155"/>
      <c r="BD43" s="140"/>
      <c r="BE43" s="140"/>
      <c r="BF43" s="140"/>
      <c r="BG43" s="140"/>
      <c r="BH43" s="140"/>
      <c r="BI43" s="140"/>
      <c r="BJ43" s="140"/>
      <c r="BK43" s="140"/>
      <c r="BL43" s="155">
        <f>+Assets!M26</f>
        <v>10000</v>
      </c>
    </row>
    <row r="44" spans="1:66" s="141" customFormat="1" x14ac:dyDescent="0.2">
      <c r="A44" s="138"/>
      <c r="B44" s="112" t="str">
        <f>Assets!C28</f>
        <v xml:space="preserve">Power generation </v>
      </c>
      <c r="C44" s="155">
        <f>+Assets!G47</f>
        <v>61739.130434782608</v>
      </c>
      <c r="E44" s="140"/>
      <c r="F44" s="140"/>
      <c r="H44" s="140"/>
      <c r="I44" s="140"/>
      <c r="J44" s="155">
        <f>+Assets!$H47/2</f>
        <v>441225</v>
      </c>
      <c r="K44" s="140"/>
      <c r="L44" s="140"/>
      <c r="M44" s="140"/>
      <c r="N44" s="140"/>
      <c r="O44" s="140">
        <f>+Assets!$H47/2</f>
        <v>441225</v>
      </c>
      <c r="P44" s="155">
        <f>Assets!$I47/2</f>
        <v>494475</v>
      </c>
      <c r="Q44" s="140"/>
      <c r="R44" s="140"/>
      <c r="S44" s="140"/>
      <c r="U44" s="140"/>
      <c r="V44" s="140"/>
      <c r="W44" s="140"/>
      <c r="X44" s="140"/>
      <c r="Y44" s="140"/>
      <c r="Z44" s="140"/>
      <c r="AA44" s="140">
        <f>Assets!$I47/2</f>
        <v>494475</v>
      </c>
      <c r="AB44" s="155">
        <f>+Assets!J47/2</f>
        <v>495750</v>
      </c>
      <c r="AC44" s="140"/>
      <c r="AD44" s="140"/>
      <c r="AE44" s="140"/>
      <c r="AG44" s="140"/>
      <c r="AI44" s="155"/>
      <c r="AJ44" s="140"/>
      <c r="AK44" s="140"/>
      <c r="AL44" s="140"/>
      <c r="AM44" s="140">
        <f>+Assets!J47/2</f>
        <v>495750</v>
      </c>
      <c r="AN44" s="155">
        <f>+Assets!$K47/2</f>
        <v>312500</v>
      </c>
      <c r="AO44" s="140"/>
      <c r="AP44" s="140"/>
      <c r="AQ44" s="140"/>
      <c r="AR44" s="140"/>
      <c r="AS44" s="155"/>
      <c r="AT44" s="140"/>
      <c r="AU44" s="140"/>
      <c r="AV44" s="140"/>
      <c r="AW44" s="140"/>
      <c r="AX44" s="140"/>
      <c r="AY44" s="140">
        <f>+Assets!$K47/2</f>
        <v>312500</v>
      </c>
      <c r="AZ44" s="155"/>
      <c r="BA44" s="140"/>
      <c r="BB44" s="140"/>
      <c r="BC44" s="155"/>
      <c r="BD44" s="140"/>
      <c r="BE44" s="155">
        <f>+Assets!$L47/2</f>
        <v>322410</v>
      </c>
      <c r="BF44" s="140"/>
      <c r="BG44" s="140"/>
      <c r="BH44" s="140"/>
      <c r="BI44" s="140"/>
      <c r="BJ44" s="140"/>
      <c r="BK44" s="140">
        <f>+Assets!$L47/2</f>
        <v>322410</v>
      </c>
      <c r="BL44" s="155">
        <f>+Assets!M47</f>
        <v>202956.39130434784</v>
      </c>
      <c r="BM44" s="155">
        <f>+Assets!N47</f>
        <v>55956.391304347824</v>
      </c>
      <c r="BN44" s="155">
        <f>+Assets!O47</f>
        <v>55956.391304347824</v>
      </c>
    </row>
    <row r="45" spans="1:66" s="141" customFormat="1" x14ac:dyDescent="0.2">
      <c r="A45" s="138"/>
      <c r="B45" s="112" t="str">
        <f>Assets!C49</f>
        <v xml:space="preserve">Transmission &amp; distribution </v>
      </c>
      <c r="C45" s="155">
        <f>+Assets!G66</f>
        <v>0</v>
      </c>
      <c r="E45" s="140"/>
      <c r="F45" s="140"/>
      <c r="H45" s="140"/>
      <c r="I45" s="140"/>
      <c r="K45" s="140"/>
      <c r="L45" s="140"/>
      <c r="M45" s="140"/>
      <c r="N45" s="140"/>
      <c r="O45" s="155">
        <f>+Assets!$H66</f>
        <v>34400</v>
      </c>
      <c r="Q45" s="140"/>
      <c r="R45" s="140"/>
      <c r="S45" s="140"/>
      <c r="U45" s="140"/>
      <c r="V45" s="140"/>
      <c r="W45" s="140"/>
      <c r="X45" s="140"/>
      <c r="Y45" s="140"/>
      <c r="Z45" s="140"/>
      <c r="AA45" s="155">
        <f>Assets!$I66</f>
        <v>153000</v>
      </c>
      <c r="AC45" s="140"/>
      <c r="AD45" s="140"/>
      <c r="AE45" s="140"/>
      <c r="AG45" s="140"/>
      <c r="AI45" s="140"/>
      <c r="AJ45" s="140"/>
      <c r="AK45" s="140"/>
      <c r="AL45" s="140"/>
      <c r="AM45" s="155">
        <f>Assets!$J66</f>
        <v>214200</v>
      </c>
      <c r="AO45" s="140"/>
      <c r="AP45" s="140"/>
      <c r="AQ45" s="140"/>
      <c r="AR45" s="140"/>
      <c r="AS45" s="155"/>
      <c r="AT45" s="140"/>
      <c r="AU45" s="140"/>
      <c r="AV45" s="140"/>
      <c r="AW45" s="140"/>
      <c r="AX45" s="140"/>
      <c r="AY45" s="155">
        <f>+Assets!$K66</f>
        <v>239620</v>
      </c>
      <c r="BA45" s="140"/>
      <c r="BB45" s="140"/>
      <c r="BC45" s="155"/>
      <c r="BD45" s="140"/>
      <c r="BE45" s="140"/>
      <c r="BF45" s="140"/>
      <c r="BG45" s="140"/>
      <c r="BH45" s="140"/>
      <c r="BI45" s="140"/>
      <c r="BJ45" s="140"/>
      <c r="BK45" s="155">
        <f>+Assets!$L66</f>
        <v>233782</v>
      </c>
      <c r="BL45" s="155">
        <f>+Assets!M66</f>
        <v>30000</v>
      </c>
      <c r="BM45" s="155">
        <f>+Assets!N66</f>
        <v>30000</v>
      </c>
      <c r="BN45" s="155">
        <f>+Assets!O66</f>
        <v>30000</v>
      </c>
    </row>
    <row r="46" spans="1:66" s="141" customFormat="1" x14ac:dyDescent="0.2">
      <c r="A46" s="138"/>
      <c r="B46" s="112" t="str">
        <f>Assets!C68</f>
        <v>Rolling equipment</v>
      </c>
      <c r="C46" s="155">
        <f>+Assets!G76</f>
        <v>0</v>
      </c>
      <c r="E46" s="140"/>
      <c r="F46" s="155">
        <f>+Assets!$H76</f>
        <v>18000</v>
      </c>
      <c r="H46" s="140"/>
      <c r="I46" s="140"/>
      <c r="K46" s="140"/>
      <c r="L46" s="140"/>
      <c r="M46" s="140"/>
      <c r="N46" s="140"/>
      <c r="O46" s="140"/>
      <c r="P46" s="155">
        <f>Assets!$I76</f>
        <v>28000</v>
      </c>
      <c r="Q46" s="140"/>
      <c r="R46" s="140"/>
      <c r="S46" s="140"/>
      <c r="U46" s="140"/>
      <c r="V46" s="140"/>
      <c r="W46" s="140"/>
      <c r="X46" s="140"/>
      <c r="Y46" s="140"/>
      <c r="Z46" s="140"/>
      <c r="AA46" s="140"/>
      <c r="AB46" s="155">
        <f>Assets!$J76</f>
        <v>1500</v>
      </c>
      <c r="AC46" s="140"/>
      <c r="AD46" s="140"/>
      <c r="AE46" s="140"/>
      <c r="AG46" s="140"/>
      <c r="AI46" s="140"/>
      <c r="AJ46" s="140"/>
      <c r="AK46" s="140"/>
      <c r="AL46" s="140"/>
      <c r="AM46" s="140"/>
      <c r="AN46" s="155">
        <f>+Assets!$K76</f>
        <v>26500</v>
      </c>
      <c r="AO46" s="140"/>
      <c r="AP46" s="140"/>
      <c r="AQ46" s="140"/>
      <c r="AR46" s="140"/>
      <c r="AS46" s="155"/>
      <c r="AT46" s="140"/>
      <c r="AU46" s="140"/>
      <c r="AV46" s="140"/>
      <c r="AW46" s="140"/>
      <c r="AX46" s="140"/>
      <c r="AY46" s="140"/>
      <c r="AZ46" s="155">
        <f>+Assets!$L76</f>
        <v>1500</v>
      </c>
      <c r="BA46" s="140"/>
      <c r="BB46" s="140"/>
      <c r="BC46" s="155"/>
      <c r="BD46" s="140"/>
      <c r="BE46" s="140"/>
      <c r="BF46" s="140"/>
      <c r="BG46" s="140"/>
      <c r="BH46" s="140"/>
      <c r="BI46" s="140"/>
      <c r="BJ46" s="140"/>
      <c r="BK46" s="140"/>
      <c r="BL46" s="155">
        <f>+Assets!M76</f>
        <v>1500</v>
      </c>
      <c r="BM46" s="155">
        <f>+Assets!N76</f>
        <v>1500</v>
      </c>
      <c r="BN46" s="155">
        <f>+Assets!O76</f>
        <v>1500</v>
      </c>
    </row>
    <row r="47" spans="1:66" s="141" customFormat="1" x14ac:dyDescent="0.2">
      <c r="A47" s="138"/>
      <c r="B47" s="112" t="str">
        <f>Assets!C78</f>
        <v>Contingency</v>
      </c>
      <c r="C47" s="155"/>
      <c r="E47" s="140"/>
      <c r="F47" s="140"/>
      <c r="H47" s="140"/>
      <c r="I47" s="140"/>
      <c r="J47" s="155">
        <f>+Assets!$H81</f>
        <v>104735</v>
      </c>
      <c r="K47" s="140"/>
      <c r="L47" s="140"/>
      <c r="M47" s="140"/>
      <c r="N47" s="140"/>
      <c r="O47" s="140"/>
      <c r="P47" s="155">
        <f>Assets!$I81</f>
        <v>120745</v>
      </c>
      <c r="Q47" s="140"/>
      <c r="R47" s="140"/>
      <c r="S47" s="140"/>
      <c r="U47" s="140"/>
      <c r="V47" s="140"/>
      <c r="W47" s="140"/>
      <c r="X47" s="140"/>
      <c r="Y47" s="140"/>
      <c r="Z47" s="140"/>
      <c r="AA47" s="140"/>
      <c r="AB47" s="155">
        <f>Assets!$J81</f>
        <v>123970</v>
      </c>
      <c r="AC47" s="140"/>
      <c r="AD47" s="140"/>
      <c r="AE47" s="140"/>
      <c r="AG47" s="140"/>
      <c r="AI47" s="140"/>
      <c r="AJ47" s="140"/>
      <c r="AK47" s="140"/>
      <c r="AL47" s="140"/>
      <c r="AM47" s="140"/>
      <c r="AN47" s="155">
        <f>+Assets!$K81</f>
        <v>92362</v>
      </c>
      <c r="AO47" s="140"/>
      <c r="AP47" s="140"/>
      <c r="AQ47" s="140"/>
      <c r="AR47" s="140"/>
      <c r="AS47" s="155"/>
      <c r="AT47" s="140"/>
      <c r="AU47" s="140"/>
      <c r="AV47" s="140"/>
      <c r="AW47" s="140"/>
      <c r="AX47" s="140"/>
      <c r="AY47" s="140"/>
      <c r="AZ47" s="155">
        <f>+Assets!$L81</f>
        <v>90260.200000000012</v>
      </c>
      <c r="BA47" s="140"/>
      <c r="BB47" s="140"/>
      <c r="BC47" s="155"/>
      <c r="BD47" s="140"/>
      <c r="BE47" s="140"/>
      <c r="BF47" s="140"/>
      <c r="BG47" s="140"/>
      <c r="BH47" s="140"/>
      <c r="BI47" s="140"/>
      <c r="BJ47" s="140"/>
      <c r="BK47" s="140"/>
      <c r="BL47" s="155">
        <f>+Assets!M81</f>
        <v>24445.639130434785</v>
      </c>
      <c r="BM47" s="155">
        <f>+Assets!N81</f>
        <v>9745.6391304347835</v>
      </c>
      <c r="BN47" s="155">
        <f>+Assets!O81</f>
        <v>7796.5113043478259</v>
      </c>
    </row>
    <row r="48" spans="1:66" s="141" customFormat="1" x14ac:dyDescent="0.2">
      <c r="A48" s="138"/>
      <c r="B48" s="112"/>
      <c r="C48" s="112"/>
      <c r="D48" s="155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55"/>
      <c r="Q48" s="140"/>
      <c r="R48" s="140"/>
      <c r="S48" s="140"/>
      <c r="U48" s="140"/>
      <c r="V48" s="140"/>
      <c r="W48" s="140"/>
      <c r="X48" s="140"/>
      <c r="Y48" s="140"/>
      <c r="Z48" s="140"/>
      <c r="AA48" s="140"/>
      <c r="AC48" s="140"/>
      <c r="AD48" s="140"/>
      <c r="AE48" s="140"/>
      <c r="AF48" s="155"/>
      <c r="AG48" s="140"/>
      <c r="AI48" s="140"/>
      <c r="AJ48" s="140"/>
      <c r="AK48" s="140"/>
      <c r="AL48" s="140"/>
      <c r="AM48" s="140"/>
      <c r="AO48" s="140"/>
      <c r="AP48" s="140"/>
      <c r="AQ48" s="140"/>
      <c r="AR48" s="140"/>
      <c r="AS48" s="155"/>
      <c r="AT48" s="140"/>
      <c r="AU48" s="140"/>
      <c r="AV48" s="140"/>
      <c r="AW48" s="140"/>
      <c r="AX48" s="140"/>
      <c r="AY48" s="140"/>
      <c r="BA48" s="140"/>
      <c r="BB48" s="140"/>
      <c r="BC48" s="155"/>
      <c r="BD48" s="140"/>
      <c r="BE48" s="140"/>
      <c r="BF48" s="140"/>
      <c r="BG48" s="140"/>
      <c r="BH48" s="140"/>
      <c r="BI48" s="140"/>
      <c r="BJ48" s="140"/>
      <c r="BK48" s="140"/>
      <c r="BL48" s="133"/>
    </row>
    <row r="49" spans="1:121" s="141" customFormat="1" x14ac:dyDescent="0.2">
      <c r="A49" s="138"/>
      <c r="B49" s="112"/>
      <c r="C49" s="112"/>
      <c r="D49" s="155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55"/>
      <c r="Q49" s="140"/>
      <c r="R49" s="140"/>
      <c r="S49" s="140"/>
      <c r="U49" s="140"/>
      <c r="V49" s="140"/>
      <c r="W49" s="140"/>
      <c r="X49" s="140"/>
      <c r="Y49" s="140"/>
      <c r="Z49" s="140"/>
      <c r="AA49" s="140"/>
      <c r="AC49" s="140"/>
      <c r="AD49" s="140"/>
      <c r="AE49" s="140"/>
      <c r="AF49" s="155"/>
      <c r="AG49" s="140"/>
      <c r="AI49" s="140"/>
      <c r="AJ49" s="140"/>
      <c r="AK49" s="140"/>
      <c r="AL49" s="140"/>
      <c r="AM49" s="140"/>
      <c r="AO49" s="140"/>
      <c r="AP49" s="140"/>
      <c r="AQ49" s="140"/>
      <c r="AR49" s="140"/>
      <c r="AS49" s="155"/>
      <c r="AT49" s="140"/>
      <c r="AU49" s="140"/>
      <c r="AV49" s="140"/>
      <c r="AW49" s="140"/>
      <c r="AX49" s="140"/>
      <c r="AY49" s="140"/>
      <c r="BA49" s="140"/>
      <c r="BB49" s="140"/>
      <c r="BC49" s="155"/>
      <c r="BD49" s="140"/>
      <c r="BE49" s="140"/>
      <c r="BF49" s="140"/>
      <c r="BG49" s="140"/>
      <c r="BH49" s="140"/>
      <c r="BI49" s="140"/>
      <c r="BJ49" s="140"/>
      <c r="BK49" s="140"/>
      <c r="BL49" s="133"/>
    </row>
    <row r="50" spans="1:121" s="141" customFormat="1" x14ac:dyDescent="0.2">
      <c r="A50" s="138"/>
      <c r="B50" s="22"/>
      <c r="C50" s="22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33"/>
    </row>
    <row r="51" spans="1:121" x14ac:dyDescent="0.2">
      <c r="A51" s="148"/>
      <c r="B51" s="111"/>
      <c r="C51" s="111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50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0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50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50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50"/>
      <c r="DL51" s="143"/>
      <c r="DM51" s="143"/>
      <c r="DN51" s="143"/>
      <c r="DO51" s="143"/>
      <c r="DP51" s="143"/>
      <c r="DQ51" s="133"/>
    </row>
    <row r="52" spans="1:121" s="155" customFormat="1" ht="13" x14ac:dyDescent="0.15">
      <c r="B52" s="192" t="s">
        <v>138</v>
      </c>
      <c r="D52" s="155">
        <f>+'P&amp;L Forecast'!$F48/12</f>
        <v>6228.708333333333</v>
      </c>
      <c r="E52" s="155">
        <f>+'P&amp;L Forecast'!$F48/12</f>
        <v>6228.708333333333</v>
      </c>
      <c r="F52" s="155">
        <f>+'P&amp;L Forecast'!$F48/12</f>
        <v>6228.708333333333</v>
      </c>
      <c r="G52" s="155">
        <f>+'P&amp;L Forecast'!$F48/12</f>
        <v>6228.708333333333</v>
      </c>
      <c r="H52" s="155">
        <f>+'P&amp;L Forecast'!$F48/12</f>
        <v>6228.708333333333</v>
      </c>
      <c r="I52" s="155">
        <f>+'P&amp;L Forecast'!$F48/12</f>
        <v>6228.708333333333</v>
      </c>
      <c r="J52" s="155">
        <f>+'P&amp;L Forecast'!$F48/12</f>
        <v>6228.708333333333</v>
      </c>
      <c r="K52" s="155">
        <f>+'P&amp;L Forecast'!$F48/12</f>
        <v>6228.708333333333</v>
      </c>
      <c r="L52" s="155">
        <f>+'P&amp;L Forecast'!$F48/12</f>
        <v>6228.708333333333</v>
      </c>
      <c r="M52" s="155">
        <f>+'P&amp;L Forecast'!$F48/12</f>
        <v>6228.708333333333</v>
      </c>
      <c r="N52" s="155">
        <f>+'P&amp;L Forecast'!$F48/12</f>
        <v>6228.708333333333</v>
      </c>
      <c r="O52" s="155">
        <f>+'P&amp;L Forecast'!$F48/12</f>
        <v>6228.708333333333</v>
      </c>
      <c r="P52" s="155">
        <f>+'P&amp;L Forecast'!$G48/12</f>
        <v>17398.457731397259</v>
      </c>
      <c r="Q52" s="155">
        <f>+'P&amp;L Forecast'!$G48/12</f>
        <v>17398.457731397259</v>
      </c>
      <c r="R52" s="155">
        <f>+'P&amp;L Forecast'!$G48/12</f>
        <v>17398.457731397259</v>
      </c>
      <c r="S52" s="155">
        <f>+'P&amp;L Forecast'!$G48/12</f>
        <v>17398.457731397259</v>
      </c>
      <c r="T52" s="155">
        <f>+'P&amp;L Forecast'!$G48/12</f>
        <v>17398.457731397259</v>
      </c>
      <c r="U52" s="155">
        <f>+'P&amp;L Forecast'!$G48/12</f>
        <v>17398.457731397259</v>
      </c>
      <c r="V52" s="155">
        <f>+'P&amp;L Forecast'!$G48/12</f>
        <v>17398.457731397259</v>
      </c>
      <c r="W52" s="155">
        <f>+'P&amp;L Forecast'!$G48/12</f>
        <v>17398.457731397259</v>
      </c>
      <c r="X52" s="155">
        <f>+'P&amp;L Forecast'!$G48/12</f>
        <v>17398.457731397259</v>
      </c>
      <c r="Y52" s="155">
        <f>+'P&amp;L Forecast'!$G48/12</f>
        <v>17398.457731397259</v>
      </c>
      <c r="Z52" s="155">
        <f>+'P&amp;L Forecast'!$G48/12</f>
        <v>17398.457731397259</v>
      </c>
      <c r="AA52" s="155">
        <f>+'P&amp;L Forecast'!$G48/12</f>
        <v>17398.457731397259</v>
      </c>
      <c r="AB52" s="155">
        <f>+'P&amp;L Forecast'!$H48/12</f>
        <v>15802.247777576797</v>
      </c>
      <c r="AC52" s="155">
        <f>+'P&amp;L Forecast'!$H48/12</f>
        <v>15802.247777576797</v>
      </c>
      <c r="AD52" s="155">
        <f>+'P&amp;L Forecast'!$H48/12</f>
        <v>15802.247777576797</v>
      </c>
      <c r="AE52" s="155">
        <f>+'P&amp;L Forecast'!$H48/12</f>
        <v>15802.247777576797</v>
      </c>
      <c r="AF52" s="155">
        <f>+'P&amp;L Forecast'!$H48/12</f>
        <v>15802.247777576797</v>
      </c>
      <c r="AG52" s="155">
        <f>+'P&amp;L Forecast'!$H48/12</f>
        <v>15802.247777576797</v>
      </c>
      <c r="AH52" s="155">
        <f>+'P&amp;L Forecast'!$H48/12</f>
        <v>15802.247777576797</v>
      </c>
      <c r="AI52" s="155">
        <f>+'P&amp;L Forecast'!$H48/12</f>
        <v>15802.247777576797</v>
      </c>
      <c r="AJ52" s="155">
        <f>+'P&amp;L Forecast'!$H48/12</f>
        <v>15802.247777576797</v>
      </c>
      <c r="AK52" s="155">
        <f>+'P&amp;L Forecast'!$H48/12</f>
        <v>15802.247777576797</v>
      </c>
      <c r="AL52" s="155">
        <f>+'P&amp;L Forecast'!$H48/12</f>
        <v>15802.247777576797</v>
      </c>
      <c r="AM52" s="155">
        <f>+'P&amp;L Forecast'!$H48/12</f>
        <v>15802.247777576797</v>
      </c>
      <c r="AN52" s="155">
        <f>+'P&amp;L Forecast'!$I48/12</f>
        <v>14657.856471029649</v>
      </c>
      <c r="AO52" s="155">
        <f>+'P&amp;L Forecast'!$I48/12</f>
        <v>14657.856471029649</v>
      </c>
      <c r="AP52" s="155">
        <f>+'P&amp;L Forecast'!$I48/12</f>
        <v>14657.856471029649</v>
      </c>
      <c r="AQ52" s="155">
        <f>+'P&amp;L Forecast'!$I48/12</f>
        <v>14657.856471029649</v>
      </c>
      <c r="AR52" s="155">
        <f>+'P&amp;L Forecast'!$I48/12</f>
        <v>14657.856471029649</v>
      </c>
      <c r="AS52" s="155">
        <f>+'P&amp;L Forecast'!$I48/12</f>
        <v>14657.856471029649</v>
      </c>
      <c r="AT52" s="155">
        <f>+'P&amp;L Forecast'!$I48/12</f>
        <v>14657.856471029649</v>
      </c>
      <c r="AU52" s="155">
        <f>+'P&amp;L Forecast'!$I48/12</f>
        <v>14657.856471029649</v>
      </c>
      <c r="AV52" s="155">
        <f>+'P&amp;L Forecast'!$I48/12</f>
        <v>14657.856471029649</v>
      </c>
      <c r="AW52" s="155">
        <f>+'P&amp;L Forecast'!$I48/12</f>
        <v>14657.856471029649</v>
      </c>
      <c r="AX52" s="155">
        <f>+'P&amp;L Forecast'!$I48/12</f>
        <v>14657.856471029649</v>
      </c>
      <c r="AY52" s="155">
        <f>+'P&amp;L Forecast'!$I48/12</f>
        <v>14657.856471029649</v>
      </c>
      <c r="AZ52" s="155">
        <f>+'P&amp;L Forecast'!$J48/12</f>
        <v>13435.293248953501</v>
      </c>
      <c r="BA52" s="155">
        <f>+'P&amp;L Forecast'!$J48/12</f>
        <v>13435.293248953501</v>
      </c>
      <c r="BB52" s="155">
        <f>+'P&amp;L Forecast'!$J48/12</f>
        <v>13435.293248953501</v>
      </c>
      <c r="BC52" s="155">
        <f>+'P&amp;L Forecast'!$J48/12</f>
        <v>13435.293248953501</v>
      </c>
      <c r="BD52" s="155">
        <f>+'P&amp;L Forecast'!$J48/12</f>
        <v>13435.293248953501</v>
      </c>
      <c r="BE52" s="155">
        <f>+'P&amp;L Forecast'!$J48/12</f>
        <v>13435.293248953501</v>
      </c>
      <c r="BF52" s="155">
        <f>+'P&amp;L Forecast'!$J48/12</f>
        <v>13435.293248953501</v>
      </c>
      <c r="BG52" s="155">
        <f>+'P&amp;L Forecast'!$J48/12</f>
        <v>13435.293248953501</v>
      </c>
      <c r="BH52" s="155">
        <f>+'P&amp;L Forecast'!$J48/12</f>
        <v>13435.293248953501</v>
      </c>
      <c r="BI52" s="155">
        <f>+'P&amp;L Forecast'!$J48/12</f>
        <v>13435.293248953501</v>
      </c>
      <c r="BJ52" s="155">
        <f>+'P&amp;L Forecast'!$J48/12</f>
        <v>13435.293248953501</v>
      </c>
      <c r="BK52" s="155">
        <f>+'P&amp;L Forecast'!$J48/12</f>
        <v>13435.293248953501</v>
      </c>
      <c r="BL52" s="155">
        <f>'P&amp;L Forecast'!K48</f>
        <v>145548.32354395281</v>
      </c>
      <c r="BM52" s="155">
        <f>'P&amp;L Forecast'!L48</f>
        <v>129335.62100551889</v>
      </c>
      <c r="BN52" s="155">
        <f>'P&amp;L Forecast'!M48</f>
        <v>111984.39008193347</v>
      </c>
    </row>
    <row r="53" spans="1:121" s="155" customFormat="1" ht="13" x14ac:dyDescent="0.15"/>
    <row r="54" spans="1:121" s="155" customFormat="1" ht="13" x14ac:dyDescent="0.15"/>
    <row r="55" spans="1:121" s="155" customFormat="1" ht="13" x14ac:dyDescent="0.15"/>
    <row r="56" spans="1:121" x14ac:dyDescent="0.2">
      <c r="A56" s="148"/>
      <c r="B56" s="27" t="s">
        <v>137</v>
      </c>
      <c r="C56" s="27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51"/>
      <c r="BP56" s="151"/>
      <c r="BQ56" s="151"/>
      <c r="BR56" s="151"/>
      <c r="BS56" s="151"/>
      <c r="BT56" s="151"/>
      <c r="BU56" s="151"/>
      <c r="BV56" s="151"/>
      <c r="BW56" s="151"/>
      <c r="BX56" s="150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50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50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50"/>
      <c r="DL56" s="143"/>
      <c r="DM56" s="143"/>
      <c r="DN56" s="143"/>
      <c r="DO56" s="143"/>
      <c r="DP56" s="143"/>
      <c r="DQ56" s="133"/>
    </row>
    <row r="57" spans="1:121" x14ac:dyDescent="0.2">
      <c r="A57" s="148"/>
      <c r="B57" s="111" t="s">
        <v>155</v>
      </c>
      <c r="C57" s="111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>
        <f>-'Balance Sheet'!D27</f>
        <v>0</v>
      </c>
      <c r="AB57" s="149">
        <f>-AA57</f>
        <v>0</v>
      </c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>
        <f>+'P&amp;L Forecast'!I53</f>
        <v>0</v>
      </c>
      <c r="BF57" s="149"/>
      <c r="BG57" s="149"/>
      <c r="BH57" s="149"/>
      <c r="BI57" s="149"/>
      <c r="BJ57" s="149"/>
      <c r="BK57" s="149"/>
      <c r="BL57" s="150">
        <f>+'P&amp;L Forecast'!J53</f>
        <v>0</v>
      </c>
      <c r="BM57" s="150">
        <f>+'P&amp;L Forecast'!K53</f>
        <v>20419.696361041464</v>
      </c>
      <c r="BN57" s="150">
        <f>+'P&amp;L Forecast'!L53</f>
        <v>68913.135332514692</v>
      </c>
      <c r="BO57" s="151"/>
      <c r="BP57" s="151"/>
      <c r="BQ57" s="151"/>
      <c r="BR57" s="151"/>
      <c r="BS57" s="151"/>
      <c r="BT57" s="151"/>
      <c r="BU57" s="151"/>
      <c r="BV57" s="151"/>
      <c r="BW57" s="151"/>
      <c r="BX57" s="150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50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50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50"/>
      <c r="DL57" s="143"/>
      <c r="DM57" s="143"/>
      <c r="DN57" s="143"/>
      <c r="DO57" s="143"/>
      <c r="DP57" s="143"/>
      <c r="DQ57" s="133"/>
    </row>
    <row r="58" spans="1:121" s="164" customFormat="1" x14ac:dyDescent="0.2">
      <c r="A58" s="159"/>
      <c r="B58" s="158" t="s">
        <v>117</v>
      </c>
      <c r="C58" s="160">
        <f>SUM(C25:C57)</f>
        <v>103277.51086956522</v>
      </c>
      <c r="D58" s="160">
        <f t="shared" ref="D58:AH58" si="1">SUM(D25:D57)</f>
        <v>28541.42921799517</v>
      </c>
      <c r="E58" s="160">
        <f t="shared" si="1"/>
        <v>28541.42921799517</v>
      </c>
      <c r="F58" s="160">
        <f>SUM(F25:F57)</f>
        <v>159041.42921799517</v>
      </c>
      <c r="G58" s="160">
        <f>SUM(G25:G57)</f>
        <v>28541.42921799517</v>
      </c>
      <c r="H58" s="160">
        <f t="shared" si="1"/>
        <v>28541.42921799517</v>
      </c>
      <c r="I58" s="160">
        <f t="shared" si="1"/>
        <v>28541.42921799517</v>
      </c>
      <c r="J58" s="160">
        <f>SUM(J25:J57)</f>
        <v>610651.42921799526</v>
      </c>
      <c r="K58" s="160">
        <f t="shared" si="1"/>
        <v>28541.42921799517</v>
      </c>
      <c r="L58" s="160">
        <f t="shared" si="1"/>
        <v>28541.42921799517</v>
      </c>
      <c r="M58" s="160">
        <f t="shared" si="1"/>
        <v>28541.42921799517</v>
      </c>
      <c r="N58" s="160">
        <f t="shared" si="1"/>
        <v>28541.42921799517</v>
      </c>
      <c r="O58" s="160">
        <f t="shared" si="1"/>
        <v>504166.42921799514</v>
      </c>
      <c r="P58" s="160">
        <f>SUM(P25:P57)</f>
        <v>726288.59653876442</v>
      </c>
      <c r="Q58" s="160">
        <f t="shared" si="1"/>
        <v>45568.59653876441</v>
      </c>
      <c r="R58" s="160">
        <f t="shared" si="1"/>
        <v>45568.59653876441</v>
      </c>
      <c r="S58" s="160">
        <f t="shared" si="1"/>
        <v>45568.59653876441</v>
      </c>
      <c r="T58" s="160">
        <f t="shared" si="1"/>
        <v>45568.59653876441</v>
      </c>
      <c r="U58" s="160">
        <f t="shared" si="1"/>
        <v>45568.59653876441</v>
      </c>
      <c r="V58" s="160">
        <f t="shared" si="1"/>
        <v>45568.59653876441</v>
      </c>
      <c r="W58" s="160">
        <f t="shared" si="1"/>
        <v>45568.59653876441</v>
      </c>
      <c r="X58" s="160">
        <f t="shared" si="1"/>
        <v>45568.59653876441</v>
      </c>
      <c r="Y58" s="160">
        <f t="shared" si="1"/>
        <v>45568.59653876441</v>
      </c>
      <c r="Z58" s="160">
        <f t="shared" si="1"/>
        <v>45568.59653876441</v>
      </c>
      <c r="AA58" s="160">
        <f>SUM(AA25:AA57)</f>
        <v>693043.59653876431</v>
      </c>
      <c r="AB58" s="160">
        <f>SUM(AB25:AB57)</f>
        <v>699535.13840861549</v>
      </c>
      <c r="AC58" s="160">
        <f t="shared" si="1"/>
        <v>45815.13840861545</v>
      </c>
      <c r="AD58" s="160">
        <f t="shared" si="1"/>
        <v>45815.13840861545</v>
      </c>
      <c r="AE58" s="160">
        <f t="shared" si="1"/>
        <v>45815.13840861545</v>
      </c>
      <c r="AF58" s="160">
        <f t="shared" si="1"/>
        <v>45815.13840861545</v>
      </c>
      <c r="AG58" s="160">
        <f t="shared" si="1"/>
        <v>45815.13840861545</v>
      </c>
      <c r="AH58" s="160">
        <f t="shared" si="1"/>
        <v>45815.13840861545</v>
      </c>
      <c r="AI58" s="160">
        <f t="shared" ref="AI58:BN58" si="2">SUM(AI25:AI57)</f>
        <v>45815.13840861545</v>
      </c>
      <c r="AJ58" s="160">
        <f t="shared" si="2"/>
        <v>45815.13840861545</v>
      </c>
      <c r="AK58" s="160">
        <f t="shared" si="2"/>
        <v>45815.13840861545</v>
      </c>
      <c r="AL58" s="160">
        <f t="shared" si="2"/>
        <v>45815.13840861545</v>
      </c>
      <c r="AM58" s="160">
        <f t="shared" si="2"/>
        <v>755765.13840861549</v>
      </c>
      <c r="AN58" s="160">
        <f>SUM(AN25:AN57)</f>
        <v>509709.40855406102</v>
      </c>
      <c r="AO58" s="160">
        <f t="shared" si="2"/>
        <v>45847.408554061054</v>
      </c>
      <c r="AP58" s="160">
        <f t="shared" si="2"/>
        <v>45847.408554061054</v>
      </c>
      <c r="AQ58" s="160">
        <f t="shared" si="2"/>
        <v>45847.408554061054</v>
      </c>
      <c r="AR58" s="160">
        <f t="shared" si="2"/>
        <v>45847.408554061054</v>
      </c>
      <c r="AS58" s="160">
        <f t="shared" si="2"/>
        <v>45847.408554061054</v>
      </c>
      <c r="AT58" s="160">
        <f t="shared" si="2"/>
        <v>45847.408554061054</v>
      </c>
      <c r="AU58" s="160">
        <f t="shared" si="2"/>
        <v>45847.408554061054</v>
      </c>
      <c r="AV58" s="160">
        <f t="shared" si="2"/>
        <v>45847.408554061054</v>
      </c>
      <c r="AW58" s="160">
        <f t="shared" si="2"/>
        <v>45847.408554061054</v>
      </c>
      <c r="AX58" s="160">
        <f t="shared" si="2"/>
        <v>45847.408554061054</v>
      </c>
      <c r="AY58" s="160">
        <f>SUM(AY25:AY57)</f>
        <v>597967.40855406108</v>
      </c>
      <c r="AZ58" s="160">
        <f t="shared" si="2"/>
        <v>158431.97895176904</v>
      </c>
      <c r="BA58" s="160">
        <f t="shared" si="2"/>
        <v>44171.778951769025</v>
      </c>
      <c r="BB58" s="160">
        <f t="shared" si="2"/>
        <v>44171.778951769025</v>
      </c>
      <c r="BC58" s="160">
        <f t="shared" si="2"/>
        <v>44171.778951769025</v>
      </c>
      <c r="BD58" s="160">
        <f t="shared" si="2"/>
        <v>44171.778951769025</v>
      </c>
      <c r="BE58" s="160">
        <f>SUM(BE25:BE57)</f>
        <v>366581.778951769</v>
      </c>
      <c r="BF58" s="160">
        <f t="shared" si="2"/>
        <v>44171.778951769025</v>
      </c>
      <c r="BG58" s="160">
        <f t="shared" si="2"/>
        <v>44171.778951769025</v>
      </c>
      <c r="BH58" s="160">
        <f t="shared" si="2"/>
        <v>44171.778951769025</v>
      </c>
      <c r="BI58" s="160">
        <f t="shared" si="2"/>
        <v>44171.778951769025</v>
      </c>
      <c r="BJ58" s="160">
        <f t="shared" si="2"/>
        <v>44171.778951769025</v>
      </c>
      <c r="BK58" s="160">
        <f t="shared" si="2"/>
        <v>600363.778951769</v>
      </c>
      <c r="BL58" s="160">
        <f t="shared" si="2"/>
        <v>791333.79656718113</v>
      </c>
      <c r="BM58" s="160">
        <f t="shared" si="2"/>
        <v>628972.71115256916</v>
      </c>
      <c r="BN58" s="160">
        <f t="shared" si="2"/>
        <v>663825.44482447603</v>
      </c>
      <c r="BO58" s="162"/>
      <c r="BP58" s="162"/>
      <c r="BQ58" s="162"/>
      <c r="BR58" s="162"/>
      <c r="BS58" s="162"/>
      <c r="BT58" s="162"/>
      <c r="BU58" s="162"/>
      <c r="BV58" s="162"/>
      <c r="BW58" s="162"/>
      <c r="BX58" s="161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1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1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1"/>
      <c r="DL58" s="163"/>
      <c r="DM58" s="163"/>
      <c r="DN58" s="163"/>
      <c r="DO58" s="163"/>
      <c r="DP58" s="163"/>
      <c r="DQ58" s="163"/>
    </row>
    <row r="59" spans="1:121" x14ac:dyDescent="0.2">
      <c r="B59" s="152"/>
      <c r="C59" s="152"/>
    </row>
    <row r="60" spans="1:121" s="191" customFormat="1" x14ac:dyDescent="0.2">
      <c r="B60" s="422" t="s">
        <v>46</v>
      </c>
      <c r="C60" s="191">
        <v>50000</v>
      </c>
      <c r="D60" s="191">
        <v>150000</v>
      </c>
      <c r="E60" s="191">
        <v>200000</v>
      </c>
      <c r="O60" s="191">
        <v>350000</v>
      </c>
      <c r="V60" s="191">
        <v>1250000</v>
      </c>
      <c r="BL60" s="423"/>
    </row>
    <row r="61" spans="1:121" s="191" customFormat="1" x14ac:dyDescent="0.2">
      <c r="B61" s="422" t="s">
        <v>153</v>
      </c>
      <c r="C61" s="422"/>
      <c r="D61" s="191">
        <f>+'Financial Costs'!C16</f>
        <v>15000</v>
      </c>
      <c r="F61" s="191">
        <f>'Financial Costs'!I27</f>
        <v>200000</v>
      </c>
      <c r="J61" s="191">
        <f>'Financial Costs'!I43</f>
        <v>750000</v>
      </c>
      <c r="O61" s="191">
        <f>'Financial Costs'!I61</f>
        <v>100000</v>
      </c>
      <c r="P61" s="191">
        <f>+'Financial Costs'!C79</f>
        <v>2435000</v>
      </c>
      <c r="BL61" s="423"/>
    </row>
    <row r="62" spans="1:121" s="191" customFormat="1" x14ac:dyDescent="0.2">
      <c r="B62" s="422" t="s">
        <v>154</v>
      </c>
      <c r="C62" s="422"/>
      <c r="BL62" s="423"/>
    </row>
    <row r="63" spans="1:121" x14ac:dyDescent="0.2">
      <c r="B63" s="111"/>
      <c r="C63" s="111"/>
    </row>
    <row r="64" spans="1:121" x14ac:dyDescent="0.2">
      <c r="B64" s="111" t="s">
        <v>47</v>
      </c>
      <c r="C64" s="111"/>
    </row>
    <row r="65" spans="2:66" x14ac:dyDescent="0.2">
      <c r="B65" s="111"/>
      <c r="C65" s="111"/>
    </row>
    <row r="66" spans="2:66" x14ac:dyDescent="0.2">
      <c r="B66" s="111" t="s">
        <v>156</v>
      </c>
      <c r="C66" s="111"/>
      <c r="O66" s="417"/>
      <c r="P66" s="417">
        <f>+'Financial Costs'!J95</f>
        <v>194062.50431696177</v>
      </c>
      <c r="AB66" s="417">
        <f>+'Financial Costs'!J96</f>
        <v>310739.84177138109</v>
      </c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N66" s="292">
        <f>+'Financial Costs'!J97</f>
        <v>213123.11343495315</v>
      </c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Z66" s="292">
        <f>+'Financial Costs'!J98</f>
        <v>226855.80911351892</v>
      </c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L66" s="292">
        <f>+'Financial Costs'!J99</f>
        <v>241526.56777843268</v>
      </c>
      <c r="BM66" s="292">
        <f>+'Financial Costs'!J100</f>
        <v>235677.07713110029</v>
      </c>
      <c r="BN66" s="292">
        <f>+'Financial Costs'!J101</f>
        <v>251889.77966953418</v>
      </c>
    </row>
    <row r="67" spans="2:66" x14ac:dyDescent="0.2">
      <c r="B67" s="111" t="s">
        <v>157</v>
      </c>
      <c r="C67" s="111"/>
    </row>
    <row r="68" spans="2:66" x14ac:dyDescent="0.2">
      <c r="B68" s="111" t="s">
        <v>48</v>
      </c>
      <c r="C68" s="111"/>
      <c r="AQ68" s="191"/>
      <c r="BC68" s="191"/>
    </row>
    <row r="69" spans="2:66" x14ac:dyDescent="0.2">
      <c r="B69" s="142"/>
      <c r="C69" s="142"/>
    </row>
    <row r="70" spans="2:66" x14ac:dyDescent="0.2">
      <c r="B70" s="139" t="s">
        <v>49</v>
      </c>
      <c r="C70" s="414"/>
    </row>
    <row r="71" spans="2:66" x14ac:dyDescent="0.2">
      <c r="B71" s="142"/>
      <c r="C71" s="142"/>
    </row>
    <row r="72" spans="2:66" s="158" customFormat="1" ht="13" x14ac:dyDescent="0.15">
      <c r="B72" s="158" t="s">
        <v>115</v>
      </c>
      <c r="C72" s="158">
        <f t="shared" ref="C72:AH72" si="3">+C21-C58+SUM(C60:C64)-SUM(C66:C68)</f>
        <v>-16128.489130434784</v>
      </c>
      <c r="D72" s="158">
        <f t="shared" si="3"/>
        <v>148747.15773852658</v>
      </c>
      <c r="E72" s="158">
        <f t="shared" si="3"/>
        <v>183747.15773852658</v>
      </c>
      <c r="F72" s="158">
        <f t="shared" si="3"/>
        <v>53247.157738526555</v>
      </c>
      <c r="G72" s="158">
        <f t="shared" si="3"/>
        <v>-16252.84226147343</v>
      </c>
      <c r="H72" s="158">
        <f t="shared" si="3"/>
        <v>-16252.84226147343</v>
      </c>
      <c r="I72" s="158">
        <f t="shared" si="3"/>
        <v>-16252.84226147343</v>
      </c>
      <c r="J72" s="158">
        <f t="shared" si="3"/>
        <v>151637.15773852647</v>
      </c>
      <c r="K72" s="158">
        <f t="shared" si="3"/>
        <v>-16252.84226147343</v>
      </c>
      <c r="L72" s="158">
        <f t="shared" si="3"/>
        <v>-16252.84226147343</v>
      </c>
      <c r="M72" s="158">
        <f t="shared" si="3"/>
        <v>-16252.84226147343</v>
      </c>
      <c r="N72" s="158">
        <f t="shared" si="3"/>
        <v>-16252.84226147343</v>
      </c>
      <c r="O72" s="158">
        <f>+O21-O58+SUM(O60:O64)-SUM(O66:O68)</f>
        <v>-41877.842261473415</v>
      </c>
      <c r="P72" s="158">
        <f>+P21-P58+SUM(P60:P64)-SUM(P66:P68)</f>
        <v>1559072.3224413751</v>
      </c>
      <c r="Q72" s="158">
        <f t="shared" si="3"/>
        <v>-1145.1732416629529</v>
      </c>
      <c r="R72" s="158">
        <f t="shared" si="3"/>
        <v>-1145.1732416629529</v>
      </c>
      <c r="S72" s="158">
        <f t="shared" si="3"/>
        <v>-1145.1732416629529</v>
      </c>
      <c r="T72" s="158">
        <f t="shared" si="3"/>
        <v>-1145.1732416629529</v>
      </c>
      <c r="U72" s="158">
        <f t="shared" si="3"/>
        <v>-1145.1732416629529</v>
      </c>
      <c r="V72" s="158">
        <f>+V21-V58+SUM(V60:V64)-SUM(V66:V68)</f>
        <v>1248854.826758337</v>
      </c>
      <c r="W72" s="158">
        <f t="shared" si="3"/>
        <v>-1145.1732416629529</v>
      </c>
      <c r="X72" s="158">
        <f t="shared" si="3"/>
        <v>-1145.1732416629529</v>
      </c>
      <c r="Y72" s="158">
        <f t="shared" si="3"/>
        <v>-1145.1732416629529</v>
      </c>
      <c r="Z72" s="158">
        <f t="shared" si="3"/>
        <v>-1145.1732416629529</v>
      </c>
      <c r="AA72" s="158">
        <f>+AA21-AA58+SUM(AA60:AA64)-SUM(AA66:AA68)</f>
        <v>-648620.17324166279</v>
      </c>
      <c r="AB72" s="158">
        <f>+AB21-AB58+SUM(AB60:AB64)-SUM(AB66:AB68)</f>
        <v>-935397.25191912695</v>
      </c>
      <c r="AC72" s="158">
        <f t="shared" si="3"/>
        <v>29062.589852254117</v>
      </c>
      <c r="AD72" s="158">
        <f t="shared" si="3"/>
        <v>29062.589852254117</v>
      </c>
      <c r="AE72" s="158">
        <f t="shared" si="3"/>
        <v>29062.589852254117</v>
      </c>
      <c r="AF72" s="158">
        <f t="shared" si="3"/>
        <v>29062.589852254117</v>
      </c>
      <c r="AG72" s="158">
        <f t="shared" si="3"/>
        <v>29062.589852254117</v>
      </c>
      <c r="AH72" s="158">
        <f t="shared" si="3"/>
        <v>29062.589852254117</v>
      </c>
      <c r="AI72" s="158">
        <f t="shared" ref="AI72:BJ72" si="4">+AI21-AI58+SUM(AI60:AI64)-SUM(AI66:AI68)</f>
        <v>29062.589852254117</v>
      </c>
      <c r="AJ72" s="158">
        <f t="shared" si="4"/>
        <v>29062.589852254117</v>
      </c>
      <c r="AK72" s="158">
        <f t="shared" si="4"/>
        <v>29062.589852254117</v>
      </c>
      <c r="AL72" s="158">
        <f t="shared" si="4"/>
        <v>29062.589852254117</v>
      </c>
      <c r="AM72" s="158">
        <f t="shared" si="4"/>
        <v>-680887.41014774586</v>
      </c>
      <c r="AN72" s="158">
        <f>+AN21-AN58+SUM(AN60:AN64)-SUM(AN66:AN68)</f>
        <v>-638601.87109191273</v>
      </c>
      <c r="AO72" s="158">
        <f t="shared" si="4"/>
        <v>38383.242343040401</v>
      </c>
      <c r="AP72" s="158">
        <f t="shared" si="4"/>
        <v>38383.242343040401</v>
      </c>
      <c r="AQ72" s="158">
        <f t="shared" si="4"/>
        <v>38383.242343040401</v>
      </c>
      <c r="AR72" s="158">
        <f t="shared" si="4"/>
        <v>38383.242343040401</v>
      </c>
      <c r="AS72" s="158">
        <f t="shared" si="4"/>
        <v>38383.242343040401</v>
      </c>
      <c r="AT72" s="158">
        <f t="shared" si="4"/>
        <v>38383.242343040401</v>
      </c>
      <c r="AU72" s="158">
        <f t="shared" si="4"/>
        <v>38383.242343040401</v>
      </c>
      <c r="AV72" s="158">
        <f t="shared" si="4"/>
        <v>38383.242343040401</v>
      </c>
      <c r="AW72" s="158">
        <f t="shared" si="4"/>
        <v>38383.242343040401</v>
      </c>
      <c r="AX72" s="158">
        <f t="shared" si="4"/>
        <v>38383.242343040401</v>
      </c>
      <c r="AY72" s="158">
        <f t="shared" si="4"/>
        <v>-513736.75765695964</v>
      </c>
      <c r="AZ72" s="158">
        <f>+AZ21-AZ58+SUM(AZ60:AZ64)-SUM(AZ66:AZ68)</f>
        <v>-277499.13672661036</v>
      </c>
      <c r="BA72" s="158">
        <f t="shared" si="4"/>
        <v>63616.872386908537</v>
      </c>
      <c r="BB72" s="158">
        <f t="shared" si="4"/>
        <v>63616.872386908537</v>
      </c>
      <c r="BC72" s="158">
        <f t="shared" si="4"/>
        <v>63616.872386908537</v>
      </c>
      <c r="BD72" s="158">
        <f t="shared" si="4"/>
        <v>63616.872386908537</v>
      </c>
      <c r="BE72" s="158">
        <f t="shared" si="4"/>
        <v>-258793.12761309143</v>
      </c>
      <c r="BF72" s="158">
        <f t="shared" si="4"/>
        <v>63616.872386908537</v>
      </c>
      <c r="BG72" s="158">
        <f t="shared" si="4"/>
        <v>63616.872386908537</v>
      </c>
      <c r="BH72" s="158">
        <f t="shared" si="4"/>
        <v>63616.872386908537</v>
      </c>
      <c r="BI72" s="158">
        <f t="shared" si="4"/>
        <v>63616.872386908537</v>
      </c>
      <c r="BJ72" s="158">
        <f t="shared" si="4"/>
        <v>63616.872386908537</v>
      </c>
      <c r="BK72" s="158">
        <f>+BK21-BK58+SUM(BK60:BK64)-SUM(BK66:BK68)</f>
        <v>-492575.12761309143</v>
      </c>
      <c r="BL72" s="158">
        <f>+BL21-BL58+SUM(BL60:BL64)-SUM(BL66:BL68)</f>
        <v>274501.59755547351</v>
      </c>
      <c r="BM72" s="158">
        <f>+BM21-BM58+SUM(BM60:BM64)-SUM(BM66:BM66)</f>
        <v>431218.10950029845</v>
      </c>
      <c r="BN72" s="158">
        <f>+BN21-BN58+SUM(BN60:BN64)-SUM(BN66:BN66)</f>
        <v>395475.21031480818</v>
      </c>
    </row>
    <row r="73" spans="2:66" s="178" customFormat="1" ht="13" x14ac:dyDescent="0.15">
      <c r="B73" s="178" t="s">
        <v>50</v>
      </c>
      <c r="C73" s="178">
        <f>+C72</f>
        <v>-16128.489130434784</v>
      </c>
      <c r="D73" s="178">
        <f>+C73+D72</f>
        <v>132618.6686080918</v>
      </c>
      <c r="E73" s="178">
        <f>+D73+E72</f>
        <v>316365.82634661836</v>
      </c>
      <c r="F73" s="178">
        <f t="shared" ref="F73:BI73" si="5">+E73+F72</f>
        <v>369612.98408514494</v>
      </c>
      <c r="G73" s="178">
        <f t="shared" si="5"/>
        <v>353360.14182367153</v>
      </c>
      <c r="H73" s="178">
        <f t="shared" si="5"/>
        <v>337107.29956219811</v>
      </c>
      <c r="I73" s="178">
        <f t="shared" si="5"/>
        <v>320854.45730072469</v>
      </c>
      <c r="J73" s="178">
        <f t="shared" si="5"/>
        <v>472491.61503925116</v>
      </c>
      <c r="K73" s="178">
        <f t="shared" si="5"/>
        <v>456238.77277777775</v>
      </c>
      <c r="L73" s="178">
        <f t="shared" si="5"/>
        <v>439985.93051630433</v>
      </c>
      <c r="M73" s="178">
        <f t="shared" si="5"/>
        <v>423733.08825483092</v>
      </c>
      <c r="N73" s="178">
        <f t="shared" si="5"/>
        <v>407480.2459933575</v>
      </c>
      <c r="O73" s="178">
        <f t="shared" si="5"/>
        <v>365602.40373188409</v>
      </c>
      <c r="P73" s="178">
        <f>+O73+P72</f>
        <v>1924674.7261732593</v>
      </c>
      <c r="Q73" s="178">
        <f t="shared" si="5"/>
        <v>1923529.5529315963</v>
      </c>
      <c r="R73" s="178">
        <f t="shared" si="5"/>
        <v>1922384.3796899333</v>
      </c>
      <c r="S73" s="178">
        <f t="shared" si="5"/>
        <v>1921239.2064482702</v>
      </c>
      <c r="T73" s="178">
        <f t="shared" si="5"/>
        <v>1920094.0332066072</v>
      </c>
      <c r="U73" s="178">
        <f t="shared" si="5"/>
        <v>1918948.8599649442</v>
      </c>
      <c r="V73" s="178">
        <f t="shared" si="5"/>
        <v>3167803.6867232812</v>
      </c>
      <c r="W73" s="178">
        <f t="shared" si="5"/>
        <v>3166658.5134816184</v>
      </c>
      <c r="X73" s="178">
        <f t="shared" si="5"/>
        <v>3165513.3402399556</v>
      </c>
      <c r="Y73" s="178">
        <f t="shared" si="5"/>
        <v>3164368.1669982928</v>
      </c>
      <c r="Z73" s="178">
        <f t="shared" si="5"/>
        <v>3163222.99375663</v>
      </c>
      <c r="AA73" s="178">
        <f>+Z73+AA72</f>
        <v>2514602.8205149672</v>
      </c>
      <c r="AB73" s="178">
        <f t="shared" si="5"/>
        <v>1579205.5685958401</v>
      </c>
      <c r="AC73" s="178">
        <f t="shared" si="5"/>
        <v>1608268.1584480943</v>
      </c>
      <c r="AD73" s="178">
        <f t="shared" si="5"/>
        <v>1637330.7483003484</v>
      </c>
      <c r="AE73" s="178">
        <f t="shared" si="5"/>
        <v>1666393.3381526025</v>
      </c>
      <c r="AF73" s="178">
        <f t="shared" si="5"/>
        <v>1695455.9280048567</v>
      </c>
      <c r="AG73" s="178">
        <f t="shared" si="5"/>
        <v>1724518.5178571108</v>
      </c>
      <c r="AH73" s="178">
        <f t="shared" si="5"/>
        <v>1753581.107709365</v>
      </c>
      <c r="AI73" s="178">
        <f t="shared" si="5"/>
        <v>1782643.6975616191</v>
      </c>
      <c r="AJ73" s="178">
        <f t="shared" si="5"/>
        <v>1811706.2874138732</v>
      </c>
      <c r="AK73" s="178">
        <f t="shared" si="5"/>
        <v>1840768.8772661274</v>
      </c>
      <c r="AL73" s="178">
        <f t="shared" si="5"/>
        <v>1869831.4671183815</v>
      </c>
      <c r="AM73" s="178">
        <f t="shared" si="5"/>
        <v>1188944.0569706357</v>
      </c>
      <c r="AN73" s="178">
        <f t="shared" si="5"/>
        <v>550342.18587872293</v>
      </c>
      <c r="AO73" s="178">
        <f t="shared" si="5"/>
        <v>588725.42822176334</v>
      </c>
      <c r="AP73" s="178">
        <f t="shared" si="5"/>
        <v>627108.67056480376</v>
      </c>
      <c r="AQ73" s="178">
        <f t="shared" si="5"/>
        <v>665491.91290784418</v>
      </c>
      <c r="AR73" s="178">
        <f t="shared" si="5"/>
        <v>703875.15525088459</v>
      </c>
      <c r="AS73" s="178">
        <f t="shared" si="5"/>
        <v>742258.39759392501</v>
      </c>
      <c r="AT73" s="178">
        <f t="shared" si="5"/>
        <v>780641.63993696542</v>
      </c>
      <c r="AU73" s="178">
        <f t="shared" si="5"/>
        <v>819024.88228000584</v>
      </c>
      <c r="AV73" s="178">
        <f t="shared" si="5"/>
        <v>857408.12462304626</v>
      </c>
      <c r="AW73" s="178">
        <f t="shared" si="5"/>
        <v>895791.36696608667</v>
      </c>
      <c r="AX73" s="178">
        <f t="shared" si="5"/>
        <v>934174.60930912709</v>
      </c>
      <c r="AY73" s="178">
        <f t="shared" si="5"/>
        <v>420437.85165216745</v>
      </c>
      <c r="AZ73" s="178">
        <f t="shared" si="5"/>
        <v>142938.71492555708</v>
      </c>
      <c r="BA73" s="178">
        <f t="shared" si="5"/>
        <v>206555.58731246562</v>
      </c>
      <c r="BB73" s="178">
        <f t="shared" si="5"/>
        <v>270172.45969937416</v>
      </c>
      <c r="BC73" s="178">
        <f t="shared" si="5"/>
        <v>333789.33208628267</v>
      </c>
      <c r="BD73" s="178">
        <f t="shared" si="5"/>
        <v>397406.20447319117</v>
      </c>
      <c r="BE73" s="178">
        <f t="shared" si="5"/>
        <v>138613.07686009974</v>
      </c>
      <c r="BF73" s="178">
        <f t="shared" si="5"/>
        <v>202229.94924700828</v>
      </c>
      <c r="BG73" s="178">
        <f t="shared" si="5"/>
        <v>265846.82163391681</v>
      </c>
      <c r="BH73" s="178">
        <f t="shared" si="5"/>
        <v>329463.69402082532</v>
      </c>
      <c r="BI73" s="178">
        <f t="shared" si="5"/>
        <v>393080.56640773383</v>
      </c>
      <c r="BJ73" s="178">
        <f t="shared" ref="BJ73:BN73" si="6">+BI73+BJ72</f>
        <v>456697.43879464234</v>
      </c>
      <c r="BK73" s="178">
        <f t="shared" si="6"/>
        <v>-35877.688818449096</v>
      </c>
      <c r="BL73" s="178">
        <f t="shared" si="6"/>
        <v>238623.90873702441</v>
      </c>
      <c r="BM73" s="178">
        <f t="shared" si="6"/>
        <v>669842.0182373228</v>
      </c>
      <c r="BN73" s="178">
        <f t="shared" si="6"/>
        <v>1065317.228552131</v>
      </c>
    </row>
    <row r="74" spans="2:66" x14ac:dyDescent="0.2">
      <c r="B74" s="145" t="s">
        <v>51</v>
      </c>
      <c r="C74" s="145"/>
    </row>
    <row r="75" spans="2:66" x14ac:dyDescent="0.2">
      <c r="B75" s="147" t="s">
        <v>52</v>
      </c>
      <c r="C75" s="147"/>
      <c r="F75" s="157"/>
      <c r="G75" s="157"/>
    </row>
    <row r="78" spans="2:66" hidden="1" x14ac:dyDescent="0.2">
      <c r="B78" s="132" t="s">
        <v>116</v>
      </c>
      <c r="O78" s="179" t="e">
        <f>SUM(D21:O21)-SUM(D58:O58)+SUM(E43:O47)-'P&amp;L Forecast'!#REF!-'P&amp;L Forecast'!#REF!</f>
        <v>#REF!</v>
      </c>
    </row>
  </sheetData>
  <pageMargins left="0.75" right="0.75" top="1" bottom="1" header="0.3" footer="0.3"/>
  <pageSetup paperSize="9" scale="56" fitToHeight="0" orientation="landscape" horizontalDpi="4294967293" verticalDpi="4294967293" copies="2"/>
  <rowBreaks count="1" manualBreakCount="1">
    <brk id="55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indexed="11"/>
    <pageSetUpPr fitToPage="1"/>
  </sheetPr>
  <dimension ref="C1:AD88"/>
  <sheetViews>
    <sheetView showGridLines="0" zoomScale="90" zoomScaleNormal="90" workbookViewId="0">
      <selection activeCell="A37" sqref="A37"/>
    </sheetView>
  </sheetViews>
  <sheetFormatPr baseColWidth="10" defaultColWidth="8.83203125" defaultRowHeight="13" outlineLevelCol="1" x14ac:dyDescent="0.15"/>
  <cols>
    <col min="1" max="1" width="1.33203125" customWidth="1"/>
    <col min="2" max="2" width="2" customWidth="1"/>
    <col min="3" max="3" width="30.33203125" style="40" bestFit="1" customWidth="1"/>
    <col min="4" max="4" width="26.83203125" style="68" customWidth="1"/>
    <col min="5" max="5" width="11.33203125" style="61" bestFit="1" customWidth="1"/>
    <col min="6" max="6" width="11.33203125" style="60" customWidth="1"/>
    <col min="7" max="7" width="13.5" style="61" bestFit="1" customWidth="1"/>
    <col min="8" max="8" width="13.33203125" style="61" bestFit="1" customWidth="1"/>
    <col min="9" max="9" width="14.6640625" style="61" customWidth="1"/>
    <col min="10" max="16" width="15.1640625" style="61" customWidth="1"/>
    <col min="17" max="21" width="7.33203125" style="6" bestFit="1" customWidth="1" outlineLevel="1"/>
    <col min="22" max="22" width="5.1640625" customWidth="1"/>
    <col min="23" max="23" width="7.1640625" bestFit="1" customWidth="1"/>
    <col min="24" max="25" width="11.33203125" bestFit="1" customWidth="1"/>
    <col min="26" max="28" width="12.83203125" bestFit="1" customWidth="1"/>
    <col min="29" max="29" width="11.33203125" style="13" bestFit="1" customWidth="1"/>
    <col min="30" max="30" width="2" style="13" customWidth="1"/>
    <col min="31" max="31" width="16.33203125" bestFit="1" customWidth="1"/>
  </cols>
  <sheetData>
    <row r="1" spans="3:30" ht="20" x14ac:dyDescent="0.2">
      <c r="D1" s="117"/>
      <c r="E1" s="87"/>
      <c r="F1" s="250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54"/>
    </row>
    <row r="9" spans="3:30" ht="18" x14ac:dyDescent="0.2">
      <c r="C9" s="123" t="s">
        <v>8</v>
      </c>
      <c r="Q9" s="47"/>
      <c r="R9" s="47"/>
      <c r="S9" s="24"/>
      <c r="T9" s="24"/>
      <c r="U9" s="24"/>
      <c r="W9" s="13"/>
      <c r="X9" s="24"/>
      <c r="Y9" s="24"/>
      <c r="Z9" s="24"/>
      <c r="AA9" s="24"/>
      <c r="AB9" s="24"/>
      <c r="AC9" s="46"/>
      <c r="AD9" s="46"/>
    </row>
    <row r="10" spans="3:30" x14ac:dyDescent="0.1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24"/>
      <c r="R10" s="24"/>
      <c r="S10" s="24"/>
      <c r="T10" s="24"/>
      <c r="U10" s="24"/>
      <c r="W10" s="13"/>
      <c r="X10" s="24"/>
      <c r="Y10" s="24"/>
      <c r="Z10" s="24"/>
      <c r="AA10" s="24"/>
      <c r="AB10" s="24"/>
      <c r="AC10" s="46"/>
      <c r="AD10" s="46"/>
    </row>
    <row r="11" spans="3:30" ht="17" thickBot="1" x14ac:dyDescent="0.25">
      <c r="C11" s="372" t="str">
        <f>'Base figures'!B12</f>
        <v>On-grid capacity</v>
      </c>
      <c r="D11" s="30"/>
      <c r="E11" s="57">
        <f>'Base figures'!I10</f>
        <v>2018</v>
      </c>
      <c r="F11" s="16"/>
      <c r="G11" s="57">
        <f>'Base figures'!K10</f>
        <v>2019</v>
      </c>
      <c r="H11" s="57">
        <f>'Base figures'!L10</f>
        <v>2020</v>
      </c>
      <c r="I11" s="57">
        <f>'Base figures'!M10</f>
        <v>2021</v>
      </c>
      <c r="J11" s="57">
        <f>'Base figures'!N10</f>
        <v>2022</v>
      </c>
      <c r="K11" s="57">
        <f>'Base figures'!O10</f>
        <v>2023</v>
      </c>
      <c r="L11" s="57">
        <f>'Base figures'!P10</f>
        <v>2024</v>
      </c>
      <c r="M11" s="57">
        <f>'Base figures'!Q10</f>
        <v>2025</v>
      </c>
      <c r="N11" s="57">
        <f>'Base figures'!R10</f>
        <v>2026</v>
      </c>
      <c r="O11" s="57">
        <v>2027</v>
      </c>
      <c r="P11" s="57">
        <v>2018</v>
      </c>
      <c r="Q11" s="24"/>
      <c r="R11" s="24"/>
      <c r="S11" s="24"/>
      <c r="T11" s="24"/>
      <c r="U11" s="24"/>
      <c r="W11" s="13"/>
      <c r="X11" s="24"/>
      <c r="Y11" s="24"/>
      <c r="Z11" s="24"/>
      <c r="AA11" s="24"/>
      <c r="AB11" s="24"/>
      <c r="AC11" s="46"/>
      <c r="AD11" s="46"/>
    </row>
    <row r="12" spans="3:30" ht="14" thickTop="1" x14ac:dyDescent="0.15">
      <c r="C12" s="364" t="s">
        <v>241</v>
      </c>
      <c r="D12" s="30"/>
      <c r="E12" s="16"/>
      <c r="F12" s="426" t="s">
        <v>338</v>
      </c>
      <c r="G12" s="426">
        <f>SUM('Base figures'!K12,'Base figures'!K17,'Base figures'!K22,'Base figures'!K27)</f>
        <v>0</v>
      </c>
      <c r="H12" s="426">
        <f>SUM('Base figures'!L12,'Base figures'!L17,'Base figures'!L22,'Base figures'!L27)</f>
        <v>688</v>
      </c>
      <c r="I12" s="426">
        <f>SUM('Base figures'!M12,'Base figures'!M17,'Base figures'!M22,'Base figures'!M27)</f>
        <v>1338</v>
      </c>
      <c r="J12" s="426">
        <f>SUM('Base figures'!N12,'Base figures'!N17,'Base figures'!N22,'Base figures'!N27)</f>
        <v>1775</v>
      </c>
      <c r="K12" s="426">
        <f>SUM('Base figures'!O12,'Base figures'!O17,'Base figures'!O22,'Base figures'!O27)</f>
        <v>2275</v>
      </c>
      <c r="L12" s="426">
        <f>SUM('Base figures'!P12,'Base figures'!P17,'Base figures'!P22,'Base figures'!P27)</f>
        <v>2275</v>
      </c>
      <c r="M12" s="426">
        <f>SUM('Base figures'!Q12,'Base figures'!Q17,'Base figures'!Q22,'Base figures'!Q27)</f>
        <v>2275</v>
      </c>
      <c r="N12" s="426">
        <f>SUM('Base figures'!R12,'Base figures'!R17,'Base figures'!R22,'Base figures'!R27)</f>
        <v>2275</v>
      </c>
      <c r="O12" s="426">
        <f>SUM('Base figures'!S12,'Base figures'!S17,'Base figures'!S22,'Base figures'!S27)</f>
        <v>2275</v>
      </c>
      <c r="P12" s="426">
        <f>SUM('Base figures'!T12,'Base figures'!T17,'Base figures'!T22,'Base figures'!T27)</f>
        <v>2275</v>
      </c>
      <c r="Q12" s="24"/>
      <c r="R12" s="24"/>
      <c r="S12" s="24"/>
      <c r="T12" s="24"/>
      <c r="U12" s="24"/>
      <c r="W12" s="13"/>
      <c r="X12" s="24"/>
      <c r="Y12" s="24"/>
      <c r="Z12" s="24"/>
      <c r="AA12" s="24"/>
      <c r="AB12" s="24"/>
      <c r="AC12" s="46"/>
      <c r="AD12" s="46"/>
    </row>
    <row r="13" spans="3:30" x14ac:dyDescent="0.15">
      <c r="C13" s="365" t="str">
        <f>'Base figures'!C12</f>
        <v>Gitugu site (1)</v>
      </c>
      <c r="D13" s="118"/>
      <c r="E13" s="308"/>
      <c r="F13" s="226"/>
      <c r="G13" s="308">
        <f>'Base figures'!K12*'Base figures'!K14*'Base figures'!K99</f>
        <v>0</v>
      </c>
      <c r="H13" s="308">
        <f>'Base figures'!L12*'Base figures'!L14*'Base figures'!L99</f>
        <v>321232.70400000003</v>
      </c>
      <c r="I13" s="308">
        <f>'Base figures'!M12*'Base figures'!M14*'Base figures'!M99</f>
        <v>321232.70400000003</v>
      </c>
      <c r="J13" s="308">
        <f>'Base figures'!N12*'Base figures'!N14*'Base figures'!N99</f>
        <v>321232.70400000003</v>
      </c>
      <c r="K13" s="308">
        <f>'Base figures'!O12*'Base figures'!O14*'Base figures'!O99</f>
        <v>321232.70400000003</v>
      </c>
      <c r="L13" s="308">
        <f>'Base figures'!P12*'Base figures'!P14*'Base figures'!P99</f>
        <v>321232.70400000003</v>
      </c>
      <c r="M13" s="308">
        <f>'Base figures'!Q12*'Base figures'!Q14*'Base figures'!Q99</f>
        <v>321232.70400000003</v>
      </c>
      <c r="N13" s="308">
        <f>'Base figures'!R12*'Base figures'!R14*'Base figures'!R99</f>
        <v>321232.70400000003</v>
      </c>
      <c r="O13" s="308">
        <f>'Base figures'!S12*'Base figures'!S14*'Base figures'!S99</f>
        <v>321232.70400000003</v>
      </c>
      <c r="P13" s="308">
        <f>'Base figures'!T12*'Base figures'!T14*'Base figures'!T99</f>
        <v>321232.70400000003</v>
      </c>
      <c r="Q13" s="24"/>
      <c r="R13" s="24"/>
      <c r="S13" s="24"/>
      <c r="T13" s="24"/>
      <c r="U13" s="24"/>
      <c r="W13" s="13"/>
      <c r="X13" s="24"/>
      <c r="Y13" s="24"/>
      <c r="Z13" s="24"/>
      <c r="AA13" s="24"/>
      <c r="AB13" s="24"/>
      <c r="AC13" s="46"/>
      <c r="AD13" s="46"/>
    </row>
    <row r="14" spans="3:30" x14ac:dyDescent="0.15">
      <c r="C14" s="365" t="str">
        <f>'Base figures'!C17</f>
        <v>Mihuti Gathigia (3)</v>
      </c>
      <c r="D14" s="118"/>
      <c r="E14" s="308"/>
      <c r="F14" s="226"/>
      <c r="G14" s="308">
        <f>'Base figures'!K17*'Base figures'!K19*'Base figures'!K99</f>
        <v>0</v>
      </c>
      <c r="H14" s="308">
        <f>'Base figures'!L17*'Base figures'!L19*'Base figures'!L99</f>
        <v>0</v>
      </c>
      <c r="I14" s="308">
        <f>'Base figures'!M17*'Base figures'!M19*'Base figures'!M99</f>
        <v>302089.47600000002</v>
      </c>
      <c r="J14" s="308">
        <f>'Base figures'!N17*'Base figures'!N19*'Base figures'!N99</f>
        <v>302089.47600000002</v>
      </c>
      <c r="K14" s="308">
        <f>'Base figures'!O17*'Base figures'!O19*'Base figures'!O99</f>
        <v>302089.47600000002</v>
      </c>
      <c r="L14" s="308">
        <f>'Base figures'!P17*'Base figures'!P19*'Base figures'!P99</f>
        <v>302089.47600000002</v>
      </c>
      <c r="M14" s="308">
        <f>'Base figures'!Q17*'Base figures'!Q19*'Base figures'!Q99</f>
        <v>302089.47600000002</v>
      </c>
      <c r="N14" s="308">
        <f>'Base figures'!R17*'Base figures'!R19*'Base figures'!R99</f>
        <v>302089.47600000002</v>
      </c>
      <c r="O14" s="308">
        <f>'Base figures'!S17*'Base figures'!S19*'Base figures'!S99</f>
        <v>302089.47600000002</v>
      </c>
      <c r="P14" s="308">
        <f>'Base figures'!T17*'Base figures'!T19*'Base figures'!T99</f>
        <v>302089.47600000002</v>
      </c>
      <c r="Q14" s="24"/>
      <c r="R14" s="24"/>
      <c r="S14" s="24"/>
      <c r="T14" s="24"/>
      <c r="U14" s="24"/>
      <c r="W14" s="13"/>
      <c r="X14" s="24"/>
      <c r="Y14" s="24"/>
      <c r="Z14" s="24"/>
      <c r="AA14" s="24"/>
      <c r="AB14" s="24"/>
      <c r="AC14" s="46"/>
      <c r="AD14" s="46"/>
    </row>
    <row r="15" spans="3:30" x14ac:dyDescent="0.15">
      <c r="C15" s="365" t="str">
        <f>'Base figures'!C22</f>
        <v>Kahinduni (2)</v>
      </c>
      <c r="D15" s="118"/>
      <c r="E15" s="308"/>
      <c r="F15" s="226"/>
      <c r="G15" s="308">
        <f>'Base figures'!K22*'Base figures'!K24*'Base figures'!K99</f>
        <v>0</v>
      </c>
      <c r="H15" s="308">
        <f>'Base figures'!L22*'Base figures'!L24*'Base figures'!L99</f>
        <v>0</v>
      </c>
      <c r="I15" s="308">
        <f>'Base figures'!M22*'Base figures'!M24*'Base figures'!M99</f>
        <v>0</v>
      </c>
      <c r="J15" s="308">
        <f>'Base figures'!N22*'Base figures'!N24*'Base figures'!N98</f>
        <v>227865.01488</v>
      </c>
      <c r="K15" s="308">
        <f>'Base figures'!O22*'Base figures'!O24*'Base figures'!O98</f>
        <v>227865.01488</v>
      </c>
      <c r="L15" s="308">
        <f>'Base figures'!P22*'Base figures'!P24*'Base figures'!P98</f>
        <v>227865.01488</v>
      </c>
      <c r="M15" s="308">
        <f>'Base figures'!Q22*'Base figures'!Q24*'Base figures'!Q98</f>
        <v>227865.01488</v>
      </c>
      <c r="N15" s="308">
        <f>'Base figures'!R22*'Base figures'!R24*'Base figures'!R98</f>
        <v>227865.01488</v>
      </c>
      <c r="O15" s="308">
        <f>'Base figures'!S22*'Base figures'!S24*'Base figures'!S98</f>
        <v>227865.01488</v>
      </c>
      <c r="P15" s="308">
        <f>'Base figures'!T22*'Base figures'!T24*'Base figures'!T98</f>
        <v>227865.01488</v>
      </c>
      <c r="Q15" s="24"/>
      <c r="R15" s="24"/>
      <c r="S15" s="24"/>
      <c r="T15" s="24"/>
      <c r="U15" s="24"/>
      <c r="W15" s="13"/>
      <c r="X15" s="24"/>
      <c r="Y15" s="24"/>
      <c r="Z15" s="24"/>
      <c r="AA15" s="24"/>
      <c r="AB15" s="24"/>
      <c r="AC15" s="46"/>
      <c r="AD15" s="46"/>
    </row>
    <row r="16" spans="3:30" s="25" customFormat="1" x14ac:dyDescent="0.15">
      <c r="C16" s="365" t="str">
        <f>'Base figures'!C27</f>
        <v>Additional site</v>
      </c>
      <c r="D16" s="118"/>
      <c r="E16" s="404"/>
      <c r="F16" s="405"/>
      <c r="G16" s="404">
        <f>'Base figures'!K27*'Base figures'!K29*'Base figures'!K99</f>
        <v>0</v>
      </c>
      <c r="H16" s="404">
        <f>'Base figures'!L27*'Base figures'!L29*'Base figures'!L99</f>
        <v>0</v>
      </c>
      <c r="I16" s="404">
        <f>'Base figures'!M27*'Base figures'!M29*'Base figures'!M99</f>
        <v>0</v>
      </c>
      <c r="J16" s="404">
        <f>'Base figures'!N27*'Base figures'!N29*'Base figures'!N99</f>
        <v>0</v>
      </c>
      <c r="K16" s="404">
        <f>'Base figures'!O27*'Base figures'!O29*'Base figures'!O99</f>
        <v>232376.52000000002</v>
      </c>
      <c r="L16" s="404">
        <f>'Base figures'!P27*'Base figures'!P29*'Base figures'!P99</f>
        <v>232376.52000000002</v>
      </c>
      <c r="M16" s="404">
        <f>'Base figures'!Q27*'Base figures'!Q29*'Base figures'!Q99</f>
        <v>232376.52000000002</v>
      </c>
      <c r="N16" s="404">
        <f>'Base figures'!R27*'Base figures'!R29*'Base figures'!R99</f>
        <v>232376.52000000002</v>
      </c>
      <c r="O16" s="404">
        <f>'Base figures'!S27*'Base figures'!S29*'Base figures'!S99</f>
        <v>232376.52000000002</v>
      </c>
      <c r="P16" s="404">
        <f>'Base figures'!T27*'Base figures'!T29*'Base figures'!T99</f>
        <v>232376.52000000002</v>
      </c>
      <c r="Q16" s="26"/>
      <c r="R16" s="26"/>
      <c r="S16" s="26"/>
      <c r="T16" s="26"/>
      <c r="U16" s="26"/>
      <c r="W16" s="22"/>
      <c r="X16" s="26"/>
      <c r="Y16" s="26"/>
      <c r="Z16" s="26"/>
      <c r="AA16" s="26"/>
      <c r="AB16" s="26"/>
      <c r="AC16" s="46"/>
      <c r="AD16" s="46"/>
    </row>
    <row r="17" spans="3:30" ht="14" thickBot="1" x14ac:dyDescent="0.2">
      <c r="C17" s="208" t="s">
        <v>239</v>
      </c>
      <c r="D17" s="59"/>
      <c r="E17" s="310">
        <f>SUM(E13:E16)</f>
        <v>0</v>
      </c>
      <c r="F17" s="251"/>
      <c r="G17" s="310">
        <f t="shared" ref="G17:J17" si="0">SUM(G13:G16)</f>
        <v>0</v>
      </c>
      <c r="H17" s="310">
        <f t="shared" si="0"/>
        <v>321232.70400000003</v>
      </c>
      <c r="I17" s="310">
        <f t="shared" si="0"/>
        <v>623322.18000000005</v>
      </c>
      <c r="J17" s="310">
        <f t="shared" si="0"/>
        <v>851187.19488000008</v>
      </c>
      <c r="K17" s="310">
        <f>SUM(K13:K16)</f>
        <v>1083563.7148800001</v>
      </c>
      <c r="L17" s="310">
        <f t="shared" ref="L17:P17" si="1">SUM(L13:L16)</f>
        <v>1083563.7148800001</v>
      </c>
      <c r="M17" s="310">
        <f t="shared" si="1"/>
        <v>1083563.7148800001</v>
      </c>
      <c r="N17" s="310">
        <f t="shared" si="1"/>
        <v>1083563.7148800001</v>
      </c>
      <c r="O17" s="310">
        <f t="shared" si="1"/>
        <v>1083563.7148800001</v>
      </c>
      <c r="P17" s="310">
        <f t="shared" si="1"/>
        <v>1083563.7148800001</v>
      </c>
      <c r="Q17" s="24"/>
      <c r="R17" s="24"/>
      <c r="S17" s="24"/>
      <c r="T17" s="24"/>
      <c r="U17" s="24"/>
      <c r="W17" s="13"/>
      <c r="X17" s="24"/>
      <c r="Y17" s="24"/>
      <c r="Z17" s="24"/>
      <c r="AA17" s="24"/>
      <c r="AB17" s="24"/>
      <c r="AC17" s="46"/>
      <c r="AD17" s="46"/>
    </row>
    <row r="18" spans="3:30" ht="15" thickTop="1" thickBot="1" x14ac:dyDescent="0.2">
      <c r="C18" s="1" t="s">
        <v>240</v>
      </c>
      <c r="D18" s="59"/>
      <c r="E18" s="309">
        <f>SUM(E14:E17)</f>
        <v>0</v>
      </c>
      <c r="F18" s="251"/>
      <c r="G18" s="309">
        <f>SUM(G14:G17)</f>
        <v>0</v>
      </c>
      <c r="H18" s="309">
        <f>H17/'Base figures'!K116</f>
        <v>279332.78608695656</v>
      </c>
      <c r="I18" s="309">
        <f>I17/'Base figures'!L116</f>
        <v>542019.2869565218</v>
      </c>
      <c r="J18" s="309">
        <f>J17/'Base figures'!M116</f>
        <v>740162.77815652185</v>
      </c>
      <c r="K18" s="309">
        <f>K17/'Base figures'!N116</f>
        <v>942229.31728695671</v>
      </c>
      <c r="L18" s="309">
        <f>L17/'Base figures'!O116</f>
        <v>942229.31728695671</v>
      </c>
      <c r="M18" s="309">
        <f>M17/'Base figures'!P116</f>
        <v>942229.31728695671</v>
      </c>
      <c r="N18" s="309">
        <f>N17/'Base figures'!Q116</f>
        <v>942229.31728695671</v>
      </c>
      <c r="O18" s="309">
        <f>O17/'Base figures'!R116</f>
        <v>942229.31728695671</v>
      </c>
      <c r="P18" s="309">
        <f>P17/'Base figures'!S116</f>
        <v>942229.31728695671</v>
      </c>
      <c r="Q18" s="24"/>
      <c r="R18" s="24"/>
      <c r="S18" s="24"/>
      <c r="T18" s="24"/>
      <c r="U18" s="24"/>
      <c r="W18" s="13"/>
      <c r="X18" s="24"/>
      <c r="Y18" s="24"/>
      <c r="Z18" s="24"/>
      <c r="AA18" s="24"/>
      <c r="AB18" s="24"/>
      <c r="AC18" s="46"/>
      <c r="AD18" s="46"/>
    </row>
    <row r="19" spans="3:30" ht="14" thickTop="1" x14ac:dyDescent="0.1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24"/>
      <c r="R19" s="24"/>
      <c r="S19" s="24"/>
      <c r="T19" s="24"/>
      <c r="U19" s="24"/>
      <c r="W19" s="13"/>
      <c r="X19" s="24"/>
      <c r="Y19" s="24"/>
      <c r="Z19" s="24"/>
      <c r="AA19" s="24"/>
      <c r="AB19" s="24"/>
      <c r="AC19" s="46"/>
      <c r="AD19" s="46"/>
    </row>
    <row r="20" spans="3:30" x14ac:dyDescent="0.1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24"/>
      <c r="R20" s="24"/>
      <c r="S20" s="24"/>
      <c r="T20" s="24"/>
      <c r="U20" s="24"/>
      <c r="W20" s="13"/>
      <c r="X20" s="24"/>
      <c r="Y20" s="24"/>
      <c r="Z20" s="24"/>
      <c r="AA20" s="24"/>
      <c r="AB20" s="24"/>
      <c r="AC20" s="46"/>
      <c r="AD20" s="46"/>
    </row>
    <row r="21" spans="3:30" ht="17" thickBot="1" x14ac:dyDescent="0.25">
      <c r="C21" s="372" t="str">
        <f>'Base figures'!B36</f>
        <v>Off-grid capacity</v>
      </c>
      <c r="D21" s="30"/>
      <c r="E21" s="57">
        <f>E11</f>
        <v>2018</v>
      </c>
      <c r="F21" s="16"/>
      <c r="G21" s="57">
        <f>G11</f>
        <v>2019</v>
      </c>
      <c r="H21" s="57">
        <f>H11</f>
        <v>2020</v>
      </c>
      <c r="I21" s="57">
        <f>I11</f>
        <v>2021</v>
      </c>
      <c r="J21" s="57">
        <f>J11</f>
        <v>2022</v>
      </c>
      <c r="K21" s="57">
        <f>K11</f>
        <v>2023</v>
      </c>
      <c r="L21" s="57">
        <f t="shared" ref="L21:N21" si="2">L11</f>
        <v>2024</v>
      </c>
      <c r="M21" s="57">
        <f t="shared" si="2"/>
        <v>2025</v>
      </c>
      <c r="N21" s="57">
        <f t="shared" si="2"/>
        <v>2026</v>
      </c>
      <c r="O21" s="57">
        <f t="shared" ref="O21:P21" si="3">O11</f>
        <v>2027</v>
      </c>
      <c r="P21" s="57">
        <f t="shared" si="3"/>
        <v>2018</v>
      </c>
      <c r="Q21" s="24"/>
      <c r="R21" s="24"/>
      <c r="S21" s="24"/>
      <c r="T21" s="24"/>
      <c r="U21" s="24"/>
      <c r="W21" s="13"/>
      <c r="X21" s="24"/>
      <c r="Y21" s="24"/>
      <c r="Z21" s="24"/>
      <c r="AA21" s="24"/>
      <c r="AB21" s="24"/>
      <c r="AC21" s="46"/>
      <c r="AD21" s="46"/>
    </row>
    <row r="22" spans="3:30" ht="14" thickTop="1" x14ac:dyDescent="0.15">
      <c r="C22" s="364" t="s">
        <v>242</v>
      </c>
      <c r="D22" s="3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4"/>
      <c r="R22" s="24"/>
      <c r="S22" s="24"/>
      <c r="T22" s="24"/>
      <c r="U22" s="24"/>
      <c r="W22" s="13"/>
      <c r="X22" s="24"/>
      <c r="Y22" s="24"/>
      <c r="Z22" s="24"/>
      <c r="AA22" s="24"/>
      <c r="AB22" s="24"/>
      <c r="AC22" s="46"/>
      <c r="AD22" s="46"/>
    </row>
    <row r="23" spans="3:30" x14ac:dyDescent="0.15">
      <c r="C23" s="299" t="str">
        <f>'Base figures'!D101</f>
        <v>Households (18-24h)</v>
      </c>
      <c r="D23" s="30"/>
      <c r="E23" s="16"/>
      <c r="F23" s="16"/>
      <c r="G23" s="361">
        <f>('Base figures'!K75-'Base figures'!I75)*'Base figures'!K101</f>
        <v>615000</v>
      </c>
      <c r="H23" s="361">
        <f>('Base figures'!L75-'Base figures'!K75)*'Base figures'!L101</f>
        <v>2250000</v>
      </c>
      <c r="I23" s="361">
        <f>('Base figures'!M75-'Base figures'!L75)*'Base figures'!M101</f>
        <v>6000000</v>
      </c>
      <c r="J23" s="361">
        <f>('Base figures'!N75-'Base figures'!M75)*'Base figures'!N101</f>
        <v>6000000</v>
      </c>
      <c r="K23" s="361">
        <f>('Base figures'!O75-'Base figures'!N75)*'Base figures'!O101</f>
        <v>4500000</v>
      </c>
      <c r="L23" s="361">
        <f>('Base figures'!P75-'Base figures'!O75)*'Base figures'!P101</f>
        <v>1500000</v>
      </c>
      <c r="M23" s="361">
        <f>('Base figures'!Q75-'Base figures'!P75)*'Base figures'!Q101</f>
        <v>0</v>
      </c>
      <c r="N23" s="361">
        <f>('Base figures'!R75-'Base figures'!Q75)*'Base figures'!R101</f>
        <v>0</v>
      </c>
      <c r="O23" s="361">
        <f>('Base figures'!S75-'Base figures'!R75)*'Base figures'!S101</f>
        <v>0</v>
      </c>
      <c r="P23" s="361">
        <f>('Base figures'!T75-'Base figures'!S75)*'Base figures'!T101</f>
        <v>0</v>
      </c>
      <c r="Q23" s="24"/>
      <c r="R23" s="24"/>
      <c r="S23" s="24"/>
      <c r="T23" s="24"/>
      <c r="U23" s="24"/>
      <c r="W23" s="13"/>
      <c r="X23" s="24"/>
      <c r="Y23" s="24"/>
      <c r="Z23" s="24"/>
      <c r="AA23" s="24"/>
      <c r="AB23" s="24"/>
      <c r="AC23" s="46"/>
      <c r="AD23" s="46"/>
    </row>
    <row r="24" spans="3:30" x14ac:dyDescent="0.15">
      <c r="C24" s="299" t="str">
        <f>'Base figures'!D102</f>
        <v>Businesses (6-18h)</v>
      </c>
      <c r="D24" s="30"/>
      <c r="E24" s="16"/>
      <c r="F24" s="16"/>
      <c r="G24" s="361">
        <f>('Base figures'!K76-'Base figures'!I76)*'Base figures'!K102</f>
        <v>750000</v>
      </c>
      <c r="H24" s="361">
        <f>('Base figures'!L76-'Base figures'!K76)*'Base figures'!L102</f>
        <v>750000</v>
      </c>
      <c r="I24" s="361">
        <f>('Base figures'!M76-'Base figures'!L76)*'Base figures'!M102</f>
        <v>750000</v>
      </c>
      <c r="J24" s="361">
        <f>('Base figures'!N76-'Base figures'!M76)*'Base figures'!N102</f>
        <v>750000</v>
      </c>
      <c r="K24" s="361">
        <f>('Base figures'!O76-'Base figures'!N76)*'Base figures'!O102</f>
        <v>750000</v>
      </c>
      <c r="L24" s="361">
        <f>('Base figures'!P76-'Base figures'!O76)*'Base figures'!P102</f>
        <v>1500000</v>
      </c>
      <c r="M24" s="361">
        <f>('Base figures'!Q76-'Base figures'!P76)*'Base figures'!Q102</f>
        <v>0</v>
      </c>
      <c r="N24" s="361">
        <f>('Base figures'!R76-'Base figures'!Q76)*'Base figures'!R102</f>
        <v>0</v>
      </c>
      <c r="O24" s="361">
        <f>('Base figures'!S76-'Base figures'!R76)*'Base figures'!S102</f>
        <v>0</v>
      </c>
      <c r="P24" s="361">
        <f>('Base figures'!T76-'Base figures'!S76)*'Base figures'!T102</f>
        <v>0</v>
      </c>
      <c r="Q24" s="24"/>
      <c r="R24" s="24"/>
      <c r="S24" s="24"/>
      <c r="T24" s="24"/>
      <c r="U24" s="24"/>
      <c r="W24" s="13"/>
      <c r="X24" s="24"/>
      <c r="Y24" s="24"/>
      <c r="Z24" s="24"/>
      <c r="AA24" s="24"/>
      <c r="AB24" s="24"/>
      <c r="AC24" s="46"/>
      <c r="AD24" s="46"/>
    </row>
    <row r="25" spans="3:30" x14ac:dyDescent="0.15">
      <c r="C25" s="299" t="str">
        <f>'Base figures'!D103</f>
        <v>Factories (6-18h)</v>
      </c>
      <c r="D25" s="30"/>
      <c r="E25" s="16"/>
      <c r="F25" s="16"/>
      <c r="G25" s="361">
        <f>('Base figures'!K77-'Base figures'!I77)*'Base figures'!K103</f>
        <v>500000</v>
      </c>
      <c r="H25" s="361">
        <f>('Base figures'!L77-'Base figures'!K77)*'Base figures'!L103</f>
        <v>500000</v>
      </c>
      <c r="I25" s="361">
        <f>('Base figures'!M77-'Base figures'!L77)*'Base figures'!M103</f>
        <v>1000000</v>
      </c>
      <c r="J25" s="361">
        <f>('Base figures'!N77-'Base figures'!M77)*'Base figures'!N103</f>
        <v>1000000</v>
      </c>
      <c r="K25" s="361">
        <f>('Base figures'!O77-'Base figures'!N77)*'Base figures'!O103</f>
        <v>2000000</v>
      </c>
      <c r="L25" s="361">
        <f>('Base figures'!P77-'Base figures'!O77)*'Base figures'!P103</f>
        <v>0</v>
      </c>
      <c r="M25" s="361">
        <f>('Base figures'!Q77-'Base figures'!P77)*'Base figures'!Q103</f>
        <v>0</v>
      </c>
      <c r="N25" s="361">
        <f>('Base figures'!R77-'Base figures'!Q77)*'Base figures'!R103</f>
        <v>0</v>
      </c>
      <c r="O25" s="361">
        <f>('Base figures'!S77-'Base figures'!R77)*'Base figures'!S103</f>
        <v>0</v>
      </c>
      <c r="P25" s="361">
        <f>('Base figures'!T77-'Base figures'!S77)*'Base figures'!T103</f>
        <v>0</v>
      </c>
      <c r="Q25" s="24"/>
      <c r="R25" s="24"/>
      <c r="S25" s="24"/>
      <c r="T25" s="24"/>
      <c r="U25" s="24"/>
      <c r="W25" s="13"/>
      <c r="X25" s="24"/>
      <c r="Y25" s="24"/>
      <c r="Z25" s="24"/>
      <c r="AA25" s="24"/>
      <c r="AB25" s="24"/>
      <c r="AC25" s="46"/>
      <c r="AD25" s="46"/>
    </row>
    <row r="26" spans="3:30" x14ac:dyDescent="0.15">
      <c r="C26" s="208" t="s">
        <v>247</v>
      </c>
      <c r="D26" s="30"/>
      <c r="E26" s="16"/>
      <c r="F26" s="16"/>
      <c r="G26" s="363">
        <f>SUM(G23:G25)</f>
        <v>1865000</v>
      </c>
      <c r="H26" s="363">
        <f t="shared" ref="H26:K26" si="4">SUM(H23:H25)</f>
        <v>3500000</v>
      </c>
      <c r="I26" s="363">
        <f t="shared" si="4"/>
        <v>7750000</v>
      </c>
      <c r="J26" s="363">
        <f t="shared" si="4"/>
        <v>7750000</v>
      </c>
      <c r="K26" s="363">
        <f t="shared" si="4"/>
        <v>7250000</v>
      </c>
      <c r="L26" s="363">
        <f t="shared" ref="L26:N26" si="5">SUM(L23:L25)</f>
        <v>3000000</v>
      </c>
      <c r="M26" s="363">
        <f t="shared" si="5"/>
        <v>0</v>
      </c>
      <c r="N26" s="363">
        <f t="shared" si="5"/>
        <v>0</v>
      </c>
      <c r="O26" s="363">
        <f t="shared" ref="O26:P26" si="6">SUM(O23:O25)</f>
        <v>0</v>
      </c>
      <c r="P26" s="363">
        <f t="shared" si="6"/>
        <v>0</v>
      </c>
      <c r="Q26" s="24"/>
      <c r="R26" s="24"/>
      <c r="S26" s="24"/>
      <c r="T26" s="24"/>
      <c r="U26" s="24"/>
      <c r="W26" s="13"/>
      <c r="X26" s="24"/>
      <c r="Y26" s="24"/>
      <c r="Z26" s="24"/>
      <c r="AA26" s="24"/>
      <c r="AB26" s="24"/>
      <c r="AC26" s="46"/>
      <c r="AD26" s="46"/>
    </row>
    <row r="27" spans="3:30" ht="14" thickBot="1" x14ac:dyDescent="0.2">
      <c r="C27" s="1" t="s">
        <v>248</v>
      </c>
      <c r="D27" s="119"/>
      <c r="E27" s="100"/>
      <c r="F27" s="116"/>
      <c r="G27" s="362">
        <f>G26/'Base figures'!K117</f>
        <v>16217.391304347826</v>
      </c>
      <c r="H27" s="362">
        <f>H26/'Base figures'!L117</f>
        <v>30434.782608695652</v>
      </c>
      <c r="I27" s="362">
        <f>I26/'Base figures'!M117</f>
        <v>67391.304347826081</v>
      </c>
      <c r="J27" s="362">
        <f>J26/'Base figures'!N117</f>
        <v>67391.304347826081</v>
      </c>
      <c r="K27" s="362">
        <f>K26/'Base figures'!O117</f>
        <v>63043.478260869568</v>
      </c>
      <c r="L27" s="362">
        <f>L26/'Base figures'!P117</f>
        <v>26086.956521739132</v>
      </c>
      <c r="M27" s="362">
        <f>M26/'Base figures'!Q117</f>
        <v>0</v>
      </c>
      <c r="N27" s="362">
        <f>N26/'Base figures'!R117</f>
        <v>0</v>
      </c>
      <c r="O27" s="362">
        <f>O26/'Base figures'!S117</f>
        <v>0</v>
      </c>
      <c r="P27" s="362">
        <f>P26/'Base figures'!T117</f>
        <v>0</v>
      </c>
      <c r="Q27" s="24"/>
      <c r="R27" s="24"/>
      <c r="S27" s="24"/>
      <c r="T27" s="24"/>
      <c r="U27" s="24"/>
      <c r="W27" s="13"/>
      <c r="X27" s="24"/>
      <c r="Y27" s="24"/>
      <c r="Z27" s="24"/>
      <c r="AA27" s="24"/>
      <c r="AB27" s="24"/>
      <c r="AC27" s="46"/>
      <c r="AD27" s="46"/>
    </row>
    <row r="28" spans="3:30" s="25" customFormat="1" ht="14" thickTop="1" x14ac:dyDescent="0.15">
      <c r="C28" s="52"/>
      <c r="D28" s="119"/>
      <c r="E28" s="373"/>
      <c r="F28" s="119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26"/>
      <c r="R28" s="26"/>
      <c r="S28" s="26"/>
      <c r="T28" s="26"/>
      <c r="U28" s="26"/>
      <c r="W28" s="22"/>
      <c r="X28" s="26"/>
      <c r="Y28" s="26"/>
      <c r="Z28" s="26"/>
      <c r="AA28" s="26"/>
      <c r="AB28" s="26"/>
      <c r="AC28" s="46"/>
      <c r="AD28" s="46"/>
    </row>
    <row r="29" spans="3:30" x14ac:dyDescent="0.15">
      <c r="C29" s="364" t="s">
        <v>243</v>
      </c>
      <c r="D29" s="30"/>
      <c r="E29" s="16"/>
      <c r="F29" s="426" t="s">
        <v>338</v>
      </c>
      <c r="G29" s="426">
        <f>SUM('Base figures'!K37,'Base figures'!K45,'Base figures'!K53,'Base figures'!K61)</f>
        <v>72</v>
      </c>
      <c r="H29" s="426">
        <f>SUM('Base figures'!L37,'Base figures'!L45,'Base figures'!L53,'Base figures'!L61)</f>
        <v>168</v>
      </c>
      <c r="I29" s="426">
        <f>SUM('Base figures'!M37,'Base figures'!M45,'Base figures'!M53,'Base figures'!M61)</f>
        <v>218</v>
      </c>
      <c r="J29" s="426">
        <f>SUM('Base figures'!N37,'Base figures'!N45,'Base figures'!N53,'Base figures'!N61)</f>
        <v>318</v>
      </c>
      <c r="K29" s="426">
        <f>SUM('Base figures'!O37,'Base figures'!O45,'Base figures'!O53,'Base figures'!O61)</f>
        <v>418</v>
      </c>
      <c r="L29" s="426">
        <f>SUM('Base figures'!P37,'Base figures'!P45,'Base figures'!P53,'Base figures'!P61)</f>
        <v>468</v>
      </c>
      <c r="M29" s="426">
        <f>SUM('Base figures'!Q37,'Base figures'!Q45,'Base figures'!Q53,'Base figures'!Q61)</f>
        <v>468</v>
      </c>
      <c r="N29" s="426">
        <f>SUM('Base figures'!R37,'Base figures'!R45,'Base figures'!R53,'Base figures'!R61)</f>
        <v>468</v>
      </c>
      <c r="O29" s="426">
        <f>SUM('Base figures'!S37,'Base figures'!S45,'Base figures'!S53,'Base figures'!S61)</f>
        <v>468</v>
      </c>
      <c r="P29" s="426">
        <f>SUM('Base figures'!T37,'Base figures'!T45,'Base figures'!T53,'Base figures'!T61)</f>
        <v>468</v>
      </c>
      <c r="Q29" s="24"/>
      <c r="R29" s="24"/>
      <c r="S29" s="24"/>
      <c r="T29" s="24"/>
      <c r="U29" s="24"/>
      <c r="W29" s="13"/>
      <c r="X29" s="24"/>
      <c r="Y29" s="24"/>
      <c r="Z29" s="24"/>
      <c r="AA29" s="24"/>
      <c r="AB29" s="24"/>
      <c r="AC29" s="46"/>
      <c r="AD29" s="46"/>
    </row>
    <row r="30" spans="3:30" x14ac:dyDescent="0.15">
      <c r="C30" s="299" t="str">
        <f>'Base figures'!D81</f>
        <v>Households (18-24h)</v>
      </c>
      <c r="D30" s="119"/>
      <c r="E30" s="361">
        <f>'Base figures'!I81*'Base figures'!I107</f>
        <v>572137.5</v>
      </c>
      <c r="F30" s="116"/>
      <c r="G30" s="361">
        <f>'Base figures'!K81*'Base figures'!K107</f>
        <v>821250</v>
      </c>
      <c r="H30" s="361">
        <f>'Base figures'!L81*'Base figures'!L107</f>
        <v>1379700.0000000002</v>
      </c>
      <c r="I30" s="361">
        <f>'Base figures'!M81*'Base figures'!M107</f>
        <v>2897370.0000000005</v>
      </c>
      <c r="J30" s="361">
        <f>'Base figures'!N81*'Base figures'!N107</f>
        <v>4563357.7500000009</v>
      </c>
      <c r="K30" s="361">
        <f>'Base figures'!O81*'Base figures'!O107</f>
        <v>5989407.0468750009</v>
      </c>
      <c r="L30" s="361">
        <f>'Base figures'!P81*'Base figures'!P107</f>
        <v>6708135.8925000019</v>
      </c>
      <c r="M30" s="361">
        <f>'Base figures'!Q81*'Base figures'!Q107</f>
        <v>7043542.687125003</v>
      </c>
      <c r="N30" s="361">
        <f>'Base figures'!R81*'Base figures'!R107</f>
        <v>7395719.821481253</v>
      </c>
      <c r="O30" s="361">
        <f>'Base figures'!S81*'Base figures'!S107</f>
        <v>7765505.8125553168</v>
      </c>
      <c r="P30" s="361">
        <f>'Base figures'!T81*'Base figures'!T107</f>
        <v>8153781.1031830823</v>
      </c>
      <c r="Q30" s="24"/>
      <c r="R30" s="24"/>
      <c r="S30" s="24"/>
      <c r="T30" s="24"/>
      <c r="U30" s="24"/>
      <c r="W30" s="13"/>
      <c r="X30" s="24"/>
      <c r="Y30" s="24"/>
      <c r="Z30" s="24"/>
      <c r="AA30" s="24"/>
      <c r="AB30" s="24"/>
      <c r="AC30" s="46"/>
      <c r="AD30" s="46"/>
    </row>
    <row r="31" spans="3:30" x14ac:dyDescent="0.15">
      <c r="C31" s="299" t="str">
        <f>'Base figures'!D82</f>
        <v>Businesses (6-18h)</v>
      </c>
      <c r="D31" s="119"/>
      <c r="E31" s="361">
        <f>'Base figures'!I82*'Base figures'!I108</f>
        <v>0</v>
      </c>
      <c r="F31" s="116"/>
      <c r="G31" s="361">
        <f>'Base figures'!K82*'Base figures'!K108</f>
        <v>270000</v>
      </c>
      <c r="H31" s="361">
        <f>'Base figures'!L82*'Base figures'!L108</f>
        <v>567000.00000000012</v>
      </c>
      <c r="I31" s="361">
        <f>'Base figures'!M82*'Base figures'!M108</f>
        <v>893025.00000000012</v>
      </c>
      <c r="J31" s="361">
        <f>'Base figures'!N82*'Base figures'!N108</f>
        <v>1250235.0000000002</v>
      </c>
      <c r="K31" s="361">
        <f>'Base figures'!O82*'Base figures'!O108</f>
        <v>1640933.4375000002</v>
      </c>
      <c r="L31" s="361">
        <f>'Base figures'!P82*'Base figures'!P108</f>
        <v>2412172.1531250007</v>
      </c>
      <c r="M31" s="361">
        <f>'Base figures'!Q82*'Base figures'!Q108</f>
        <v>2532780.7607812509</v>
      </c>
      <c r="N31" s="361">
        <f>'Base figures'!R82*'Base figures'!R108</f>
        <v>2659419.7988203135</v>
      </c>
      <c r="O31" s="361">
        <f>'Base figures'!S82*'Base figures'!S108</f>
        <v>2792390.7887613294</v>
      </c>
      <c r="P31" s="361">
        <f>'Base figures'!T82*'Base figures'!T108</f>
        <v>2932010.3281993959</v>
      </c>
      <c r="Q31" s="24"/>
      <c r="R31" s="24"/>
      <c r="S31" s="24"/>
      <c r="T31" s="24"/>
      <c r="U31" s="24"/>
      <c r="W31" s="13"/>
      <c r="X31" s="24"/>
      <c r="Y31" s="24"/>
      <c r="Z31" s="24"/>
      <c r="AA31" s="24"/>
      <c r="AB31" s="24"/>
      <c r="AC31" s="46"/>
      <c r="AD31" s="46"/>
    </row>
    <row r="32" spans="3:30" x14ac:dyDescent="0.15">
      <c r="C32" s="299" t="str">
        <f>'Base figures'!D83</f>
        <v>Factories (6-18h)</v>
      </c>
      <c r="D32" s="119"/>
      <c r="E32" s="361">
        <f>'Base figures'!I83*'Base figures'!I109</f>
        <v>0</v>
      </c>
      <c r="F32" s="116"/>
      <c r="G32" s="361">
        <f>'Base figures'!K83*'Base figures'!K109</f>
        <v>540000</v>
      </c>
      <c r="H32" s="361">
        <f>'Base figures'!L83*'Base figures'!L109</f>
        <v>1134000.0000000002</v>
      </c>
      <c r="I32" s="361">
        <f>'Base figures'!M83*'Base figures'!M109</f>
        <v>2381400.0000000005</v>
      </c>
      <c r="J32" s="361">
        <f>'Base figures'!N83*'Base figures'!N109</f>
        <v>3750705.0000000005</v>
      </c>
      <c r="K32" s="361">
        <f>'Base figures'!O83*'Base figures'!O109</f>
        <v>6563733.7500000009</v>
      </c>
      <c r="L32" s="361">
        <f>'Base figures'!P83*'Base figures'!P109</f>
        <v>6891920.4375000019</v>
      </c>
      <c r="M32" s="361">
        <f>'Base figures'!Q83*'Base figures'!Q109</f>
        <v>7236516.4593750034</v>
      </c>
      <c r="N32" s="361">
        <f>'Base figures'!R83*'Base figures'!R109</f>
        <v>7598342.2823437527</v>
      </c>
      <c r="O32" s="361">
        <f>'Base figures'!S83*'Base figures'!S109</f>
        <v>7978259.3964609411</v>
      </c>
      <c r="P32" s="361">
        <f>'Base figures'!T83*'Base figures'!T109</f>
        <v>8377172.3662839886</v>
      </c>
      <c r="Q32" s="24"/>
      <c r="R32" s="24"/>
      <c r="S32" s="24"/>
      <c r="T32" s="24"/>
      <c r="U32" s="24"/>
      <c r="W32" s="13"/>
      <c r="X32" s="24"/>
      <c r="Y32" s="24"/>
      <c r="Z32" s="24"/>
      <c r="AA32" s="24"/>
      <c r="AB32" s="24"/>
      <c r="AC32" s="46"/>
      <c r="AD32" s="46"/>
    </row>
    <row r="33" spans="3:30" x14ac:dyDescent="0.15">
      <c r="C33" s="299" t="str">
        <f>'Base figures'!D84</f>
        <v>Energy services DAY (6-18h)</v>
      </c>
      <c r="D33" s="119"/>
      <c r="E33" s="361">
        <f>'Base figures'!I84*'Base figures'!I110</f>
        <v>0</v>
      </c>
      <c r="F33" s="116"/>
      <c r="G33" s="361">
        <f>'Base figures'!K84*'Base figures'!K110</f>
        <v>648000</v>
      </c>
      <c r="H33" s="361">
        <f>'Base figures'!L84*'Base figures'!L110</f>
        <v>1020600.0000000001</v>
      </c>
      <c r="I33" s="361">
        <f>'Base figures'!M84*'Base figures'!M110</f>
        <v>2321865.0000000005</v>
      </c>
      <c r="J33" s="361">
        <f>'Base figures'!N84*'Base figures'!N110</f>
        <v>3750705.0000000005</v>
      </c>
      <c r="K33" s="361">
        <f>'Base figures'!O84*'Base figures'!O110</f>
        <v>3938240.2500000009</v>
      </c>
      <c r="L33" s="361">
        <f>'Base figures'!P84*'Base figures'!P110</f>
        <v>4135152.2625000011</v>
      </c>
      <c r="M33" s="361">
        <f>'Base figures'!Q84*'Base figures'!Q110</f>
        <v>4341909.8756250022</v>
      </c>
      <c r="N33" s="361">
        <f>'Base figures'!R84*'Base figures'!R110</f>
        <v>4559005.3694062522</v>
      </c>
      <c r="O33" s="361">
        <f>'Base figures'!S84*'Base figures'!S110</f>
        <v>4786955.6378765646</v>
      </c>
      <c r="P33" s="361">
        <f>'Base figures'!T84*'Base figures'!T110</f>
        <v>5026303.4197703926</v>
      </c>
      <c r="Q33" s="24"/>
      <c r="R33" s="24"/>
      <c r="S33" s="24"/>
      <c r="T33" s="24"/>
      <c r="U33" s="24"/>
      <c r="W33" s="13"/>
      <c r="X33" s="24"/>
      <c r="Y33" s="24"/>
      <c r="Z33" s="24"/>
      <c r="AA33" s="24"/>
      <c r="AB33" s="24"/>
      <c r="AC33" s="46"/>
      <c r="AD33" s="46"/>
    </row>
    <row r="34" spans="3:30" x14ac:dyDescent="0.15">
      <c r="C34" s="299" t="str">
        <f>'Base figures'!D85</f>
        <v>Energy services 24/7 (0-24h)</v>
      </c>
      <c r="D34" s="119"/>
      <c r="E34" s="361">
        <f>'Base figures'!I85*'Base figures'!I111</f>
        <v>0</v>
      </c>
      <c r="F34" s="116"/>
      <c r="G34" s="361">
        <f>'Base figures'!K85*'Base figures'!K111</f>
        <v>1314000</v>
      </c>
      <c r="H34" s="361">
        <f>'Base figures'!L85*'Base figures'!L111</f>
        <v>2759400.0000000005</v>
      </c>
      <c r="I34" s="361">
        <f>'Base figures'!M85*'Base figures'!M111</f>
        <v>4635792.0000000009</v>
      </c>
      <c r="J34" s="361">
        <f>'Base figures'!N85*'Base figures'!N111</f>
        <v>6084477.0000000009</v>
      </c>
      <c r="K34" s="361">
        <f>'Base figures'!O85*'Base figures'!O111</f>
        <v>9583051.2750000022</v>
      </c>
      <c r="L34" s="361">
        <f>'Base figures'!P85*'Base figures'!P111</f>
        <v>13416271.785000004</v>
      </c>
      <c r="M34" s="361">
        <f>'Base figures'!Q85*'Base figures'!Q111</f>
        <v>14087085.374250006</v>
      </c>
      <c r="N34" s="361">
        <f>'Base figures'!R85*'Base figures'!R111</f>
        <v>14791439.642962506</v>
      </c>
      <c r="O34" s="361">
        <f>'Base figures'!S85*'Base figures'!S111</f>
        <v>15531011.625110634</v>
      </c>
      <c r="P34" s="361">
        <f>'Base figures'!T85*'Base figures'!T111</f>
        <v>16307562.206366165</v>
      </c>
      <c r="Q34" s="24"/>
      <c r="R34" s="24"/>
      <c r="S34" s="24"/>
      <c r="T34" s="24"/>
      <c r="U34" s="24"/>
      <c r="W34" s="13"/>
      <c r="X34" s="24"/>
      <c r="Y34" s="24"/>
      <c r="Z34" s="24"/>
      <c r="AA34" s="24"/>
      <c r="AB34" s="24"/>
      <c r="AC34" s="46"/>
      <c r="AD34" s="46"/>
    </row>
    <row r="35" spans="3:30" x14ac:dyDescent="0.15">
      <c r="C35" s="208" t="s">
        <v>237</v>
      </c>
      <c r="D35" s="119"/>
      <c r="E35" s="363">
        <f>SUM(E30:E34)</f>
        <v>572137.5</v>
      </c>
      <c r="F35" s="116"/>
      <c r="G35" s="363">
        <f>SUM(G30:G34)</f>
        <v>3593250</v>
      </c>
      <c r="H35" s="363">
        <f t="shared" ref="H35:K35" si="7">SUM(H30:H34)</f>
        <v>6860700.0000000019</v>
      </c>
      <c r="I35" s="363">
        <f t="shared" si="7"/>
        <v>13129452.000000004</v>
      </c>
      <c r="J35" s="363">
        <f t="shared" si="7"/>
        <v>19399479.750000004</v>
      </c>
      <c r="K35" s="363">
        <f t="shared" si="7"/>
        <v>27715365.759375006</v>
      </c>
      <c r="L35" s="363">
        <f t="shared" ref="L35:N35" si="8">SUM(L30:L34)</f>
        <v>33563652.530625008</v>
      </c>
      <c r="M35" s="363">
        <f t="shared" si="8"/>
        <v>35241835.157156266</v>
      </c>
      <c r="N35" s="363">
        <f t="shared" si="8"/>
        <v>37003926.915014081</v>
      </c>
      <c r="O35" s="363">
        <f t="shared" ref="O35:P35" si="9">SUM(O30:O34)</f>
        <v>38854123.260764785</v>
      </c>
      <c r="P35" s="363">
        <f t="shared" si="9"/>
        <v>40796829.423803024</v>
      </c>
      <c r="Q35" s="24"/>
      <c r="R35" s="24"/>
      <c r="S35" s="24"/>
      <c r="T35" s="24"/>
      <c r="U35" s="24"/>
      <c r="W35" s="13"/>
      <c r="X35" s="24"/>
      <c r="Y35" s="24"/>
      <c r="Z35" s="24"/>
      <c r="AA35" s="24"/>
      <c r="AB35" s="24"/>
      <c r="AC35" s="46"/>
      <c r="AD35" s="46"/>
    </row>
    <row r="36" spans="3:30" ht="14" thickBot="1" x14ac:dyDescent="0.2">
      <c r="C36" s="1" t="s">
        <v>238</v>
      </c>
      <c r="D36" s="119"/>
      <c r="E36" s="362">
        <f>E35/'Base figures'!I117</f>
        <v>4975.108695652174</v>
      </c>
      <c r="F36" s="116"/>
      <c r="G36" s="362">
        <f>G35/'Base figures'!K117</f>
        <v>31245.652173913044</v>
      </c>
      <c r="H36" s="362">
        <f>H35/'Base figures'!L117</f>
        <v>59658.260869565231</v>
      </c>
      <c r="I36" s="362">
        <f>I35/'Base figures'!M117</f>
        <v>114169.14782608699</v>
      </c>
      <c r="J36" s="362">
        <f>J35/'Base figures'!N117</f>
        <v>168691.12826086959</v>
      </c>
      <c r="K36" s="362">
        <f>K35/'Base figures'!O117</f>
        <v>241003.18051630439</v>
      </c>
      <c r="L36" s="362">
        <f>L35/'Base figures'!P117</f>
        <v>291857.84809239139</v>
      </c>
      <c r="M36" s="362">
        <f>M35/'Base figures'!Q117</f>
        <v>306450.74049701099</v>
      </c>
      <c r="N36" s="362">
        <f>N35/'Base figures'!R117</f>
        <v>321773.27752186154</v>
      </c>
      <c r="O36" s="362">
        <f>O35/'Base figures'!S117</f>
        <v>337861.94139795465</v>
      </c>
      <c r="P36" s="362">
        <f>P35/'Base figures'!T117</f>
        <v>354755.0384678524</v>
      </c>
      <c r="Q36" s="24"/>
      <c r="R36" s="24"/>
      <c r="S36" s="24"/>
      <c r="T36" s="24"/>
      <c r="U36" s="24"/>
      <c r="W36" s="13"/>
      <c r="X36" s="24"/>
      <c r="Y36" s="24"/>
      <c r="Z36" s="24"/>
      <c r="AA36" s="24"/>
      <c r="AB36" s="24"/>
      <c r="AC36" s="46"/>
      <c r="AD36" s="46"/>
    </row>
    <row r="37" spans="3:30" ht="14" thickTop="1" x14ac:dyDescent="0.15">
      <c r="C37" s="299"/>
      <c r="D37" s="119"/>
      <c r="E37" s="100"/>
      <c r="F37" s="116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24"/>
      <c r="R37" s="24"/>
      <c r="S37" s="24"/>
      <c r="T37" s="24"/>
      <c r="U37" s="24"/>
      <c r="W37" s="13"/>
      <c r="X37" s="24"/>
      <c r="Y37" s="24"/>
      <c r="Z37" s="24"/>
      <c r="AA37" s="24"/>
      <c r="AB37" s="24"/>
      <c r="AC37" s="46"/>
      <c r="AD37" s="46"/>
    </row>
    <row r="38" spans="3:30" x14ac:dyDescent="0.15">
      <c r="C38" s="299"/>
      <c r="D38" s="119"/>
      <c r="E38" s="100"/>
      <c r="F38" s="11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24"/>
      <c r="R38" s="24"/>
      <c r="S38" s="24"/>
      <c r="T38" s="24"/>
      <c r="U38" s="24"/>
      <c r="W38" s="13"/>
      <c r="X38" s="24"/>
      <c r="Y38" s="24"/>
      <c r="Z38" s="24"/>
      <c r="AA38" s="24"/>
      <c r="AB38" s="24"/>
      <c r="AC38" s="46"/>
      <c r="AD38" s="46"/>
    </row>
    <row r="39" spans="3:30" ht="17" thickBot="1" x14ac:dyDescent="0.25">
      <c r="C39" s="372" t="s">
        <v>199</v>
      </c>
      <c r="D39" s="30"/>
      <c r="E39" s="57">
        <f>E21</f>
        <v>2018</v>
      </c>
      <c r="F39" s="16"/>
      <c r="G39" s="57">
        <f>G21</f>
        <v>2019</v>
      </c>
      <c r="H39" s="57">
        <f>H21</f>
        <v>2020</v>
      </c>
      <c r="I39" s="57">
        <f>I21</f>
        <v>2021</v>
      </c>
      <c r="J39" s="57">
        <f>J21</f>
        <v>2022</v>
      </c>
      <c r="K39" s="57">
        <f>K21</f>
        <v>2023</v>
      </c>
      <c r="L39" s="57">
        <f t="shared" ref="L39:N39" si="10">L21</f>
        <v>2024</v>
      </c>
      <c r="M39" s="57">
        <f t="shared" si="10"/>
        <v>2025</v>
      </c>
      <c r="N39" s="57">
        <f t="shared" si="10"/>
        <v>2026</v>
      </c>
      <c r="O39" s="57">
        <f t="shared" ref="O39:P39" si="11">O21</f>
        <v>2027</v>
      </c>
      <c r="P39" s="57">
        <f t="shared" si="11"/>
        <v>2018</v>
      </c>
      <c r="Q39" s="24"/>
      <c r="R39" s="24"/>
      <c r="S39" s="24"/>
      <c r="T39" s="24"/>
      <c r="U39" s="24"/>
      <c r="W39" s="13"/>
      <c r="X39" s="24"/>
      <c r="Y39" s="24"/>
      <c r="Z39" s="24"/>
      <c r="AA39" s="24"/>
      <c r="AB39" s="24"/>
      <c r="AC39" s="46"/>
      <c r="AD39" s="46"/>
    </row>
    <row r="40" spans="3:30" ht="14" thickTop="1" x14ac:dyDescent="0.15">
      <c r="C40" s="299" t="str">
        <f>C13</f>
        <v>Gitugu site (1)</v>
      </c>
      <c r="D40" s="119"/>
      <c r="E40" s="435"/>
      <c r="F40" s="116"/>
      <c r="G40" s="63">
        <v>0</v>
      </c>
      <c r="H40" s="63">
        <v>10342.219999999999</v>
      </c>
      <c r="I40" s="63">
        <f>H40</f>
        <v>10342.219999999999</v>
      </c>
      <c r="J40" s="63">
        <f>I40</f>
        <v>10342.219999999999</v>
      </c>
      <c r="K40" s="63">
        <f>J40</f>
        <v>10342.219999999999</v>
      </c>
      <c r="L40" s="63">
        <f t="shared" ref="L40:P40" si="12">K40</f>
        <v>10342.219999999999</v>
      </c>
      <c r="M40" s="63">
        <f t="shared" si="12"/>
        <v>10342.219999999999</v>
      </c>
      <c r="N40" s="63">
        <f t="shared" si="12"/>
        <v>10342.219999999999</v>
      </c>
      <c r="O40" s="63">
        <f t="shared" si="12"/>
        <v>10342.219999999999</v>
      </c>
      <c r="P40" s="63">
        <f t="shared" si="12"/>
        <v>10342.219999999999</v>
      </c>
      <c r="Q40" s="24"/>
      <c r="R40" s="24"/>
      <c r="S40" s="24"/>
      <c r="T40" s="24"/>
      <c r="U40" s="24"/>
      <c r="W40" s="13"/>
      <c r="X40" s="24"/>
      <c r="Y40" s="24"/>
      <c r="Z40" s="24"/>
      <c r="AA40" s="24"/>
      <c r="AB40" s="24"/>
      <c r="AC40" s="46"/>
      <c r="AD40" s="46"/>
    </row>
    <row r="41" spans="3:30" x14ac:dyDescent="0.15">
      <c r="C41" s="299" t="str">
        <f>C14</f>
        <v>Mihuti Gathigia (3)</v>
      </c>
      <c r="D41" s="119"/>
      <c r="E41" s="436"/>
      <c r="F41" s="116"/>
      <c r="G41" s="63">
        <v>0</v>
      </c>
      <c r="H41" s="63">
        <v>0</v>
      </c>
      <c r="I41" s="63">
        <f>9811.85</f>
        <v>9811.85</v>
      </c>
      <c r="J41" s="63">
        <f>I41</f>
        <v>9811.85</v>
      </c>
      <c r="K41" s="63">
        <f>J41</f>
        <v>9811.85</v>
      </c>
      <c r="L41" s="63">
        <f t="shared" ref="L41:P41" si="13">K41</f>
        <v>9811.85</v>
      </c>
      <c r="M41" s="63">
        <f t="shared" si="13"/>
        <v>9811.85</v>
      </c>
      <c r="N41" s="63">
        <f t="shared" si="13"/>
        <v>9811.85</v>
      </c>
      <c r="O41" s="63">
        <f t="shared" si="13"/>
        <v>9811.85</v>
      </c>
      <c r="P41" s="63">
        <f t="shared" si="13"/>
        <v>9811.85</v>
      </c>
      <c r="Q41" s="24"/>
      <c r="R41" s="24"/>
      <c r="S41" s="24"/>
      <c r="T41" s="24"/>
      <c r="U41" s="24"/>
      <c r="W41" s="13"/>
      <c r="X41" s="24"/>
      <c r="Y41" s="24"/>
      <c r="Z41" s="24"/>
      <c r="AA41" s="24"/>
      <c r="AB41" s="24"/>
      <c r="AC41" s="46"/>
      <c r="AD41" s="46"/>
    </row>
    <row r="42" spans="3:30" x14ac:dyDescent="0.15">
      <c r="C42" s="299" t="str">
        <f>C15</f>
        <v>Kahinduni (2)</v>
      </c>
      <c r="D42" s="119"/>
      <c r="E42" s="100"/>
      <c r="F42" s="116"/>
      <c r="G42" s="63">
        <v>0</v>
      </c>
      <c r="H42" s="63">
        <v>0</v>
      </c>
      <c r="I42" s="63">
        <v>0</v>
      </c>
      <c r="J42" s="63">
        <f>6597.8</f>
        <v>6597.8</v>
      </c>
      <c r="K42" s="63">
        <f>J42</f>
        <v>6597.8</v>
      </c>
      <c r="L42" s="63">
        <f t="shared" ref="L42:P46" si="14">K42</f>
        <v>6597.8</v>
      </c>
      <c r="M42" s="63">
        <f t="shared" si="14"/>
        <v>6597.8</v>
      </c>
      <c r="N42" s="63">
        <f t="shared" si="14"/>
        <v>6597.8</v>
      </c>
      <c r="O42" s="63">
        <f t="shared" si="14"/>
        <v>6597.8</v>
      </c>
      <c r="P42" s="63">
        <f t="shared" si="14"/>
        <v>6597.8</v>
      </c>
      <c r="Q42" s="24"/>
      <c r="R42" s="24"/>
      <c r="S42" s="24"/>
      <c r="T42" s="24"/>
      <c r="U42" s="24"/>
      <c r="W42" s="13"/>
      <c r="X42" s="24"/>
      <c r="Y42" s="24"/>
      <c r="Z42" s="24"/>
      <c r="AA42" s="24"/>
      <c r="AB42" s="24"/>
      <c r="AC42" s="46"/>
      <c r="AD42" s="46"/>
    </row>
    <row r="43" spans="3:30" x14ac:dyDescent="0.15">
      <c r="C43" s="299" t="s">
        <v>291</v>
      </c>
      <c r="D43" s="119"/>
      <c r="E43" s="100"/>
      <c r="F43" s="116"/>
      <c r="G43" s="63"/>
      <c r="H43" s="63"/>
      <c r="I43" s="63"/>
      <c r="J43" s="63"/>
      <c r="K43" s="63">
        <f t="shared" ref="K43:P43" si="15">K41</f>
        <v>9811.85</v>
      </c>
      <c r="L43" s="63">
        <f t="shared" si="15"/>
        <v>9811.85</v>
      </c>
      <c r="M43" s="63">
        <f t="shared" si="15"/>
        <v>9811.85</v>
      </c>
      <c r="N43" s="63">
        <f t="shared" si="15"/>
        <v>9811.85</v>
      </c>
      <c r="O43" s="63">
        <f t="shared" si="15"/>
        <v>9811.85</v>
      </c>
      <c r="P43" s="63">
        <f t="shared" si="15"/>
        <v>9811.85</v>
      </c>
      <c r="Q43" s="24"/>
      <c r="R43" s="24"/>
      <c r="S43" s="24"/>
      <c r="T43" s="24"/>
      <c r="U43" s="24"/>
      <c r="W43" s="13"/>
      <c r="X43" s="24"/>
      <c r="Y43" s="24"/>
      <c r="Z43" s="24"/>
      <c r="AA43" s="24"/>
      <c r="AB43" s="24"/>
      <c r="AC43" s="46"/>
      <c r="AD43" s="46"/>
    </row>
    <row r="44" spans="3:30" x14ac:dyDescent="0.15">
      <c r="C44" s="299" t="str">
        <f>'Base figures'!C36</f>
        <v>Kewambogo (1)</v>
      </c>
      <c r="D44" s="119"/>
      <c r="E44" s="100"/>
      <c r="F44" s="116"/>
      <c r="G44" s="63">
        <v>0</v>
      </c>
      <c r="H44" s="63">
        <v>1071.3499999999999</v>
      </c>
      <c r="I44" s="63">
        <f>H44</f>
        <v>1071.3499999999999</v>
      </c>
      <c r="J44" s="63">
        <f t="shared" ref="J44:K44" si="16">I44</f>
        <v>1071.3499999999999</v>
      </c>
      <c r="K44" s="63">
        <f t="shared" si="16"/>
        <v>1071.3499999999999</v>
      </c>
      <c r="L44" s="63">
        <f t="shared" si="14"/>
        <v>1071.3499999999999</v>
      </c>
      <c r="M44" s="63">
        <f t="shared" si="14"/>
        <v>1071.3499999999999</v>
      </c>
      <c r="N44" s="63">
        <f t="shared" si="14"/>
        <v>1071.3499999999999</v>
      </c>
      <c r="O44" s="63">
        <f t="shared" si="14"/>
        <v>1071.3499999999999</v>
      </c>
      <c r="P44" s="63">
        <f t="shared" si="14"/>
        <v>1071.3499999999999</v>
      </c>
      <c r="Q44" s="24"/>
      <c r="R44" s="24"/>
      <c r="S44" s="24"/>
      <c r="T44" s="24"/>
      <c r="U44" s="24"/>
      <c r="W44" s="13"/>
      <c r="X44" s="24"/>
      <c r="Y44" s="24"/>
      <c r="Z44" s="24"/>
      <c r="AA44" s="24"/>
      <c r="AB44" s="24"/>
      <c r="AC44" s="46"/>
      <c r="AD44" s="46"/>
    </row>
    <row r="45" spans="3:30" x14ac:dyDescent="0.15">
      <c r="C45" s="299" t="str">
        <f>'Base figures'!C44</f>
        <v>Kahinduni (2)</v>
      </c>
      <c r="D45" s="119"/>
      <c r="E45" s="100"/>
      <c r="F45" s="116"/>
      <c r="G45" s="63">
        <v>0</v>
      </c>
      <c r="H45" s="63">
        <v>755.78</v>
      </c>
      <c r="I45" s="63">
        <f>H45</f>
        <v>755.78</v>
      </c>
      <c r="J45" s="63">
        <f t="shared" ref="J45:K45" si="17">I45</f>
        <v>755.78</v>
      </c>
      <c r="K45" s="63">
        <f t="shared" si="17"/>
        <v>755.78</v>
      </c>
      <c r="L45" s="63">
        <f t="shared" si="14"/>
        <v>755.78</v>
      </c>
      <c r="M45" s="63">
        <f t="shared" si="14"/>
        <v>755.78</v>
      </c>
      <c r="N45" s="63">
        <f t="shared" si="14"/>
        <v>755.78</v>
      </c>
      <c r="O45" s="63">
        <f t="shared" si="14"/>
        <v>755.78</v>
      </c>
      <c r="P45" s="63">
        <f t="shared" si="14"/>
        <v>755.78</v>
      </c>
      <c r="Q45" s="24"/>
      <c r="R45" s="24"/>
      <c r="S45" s="24"/>
      <c r="T45" s="24"/>
      <c r="U45" s="24"/>
      <c r="W45" s="13"/>
      <c r="X45" s="24"/>
      <c r="Y45" s="24"/>
      <c r="Z45" s="24"/>
      <c r="AA45" s="24"/>
      <c r="AB45" s="24"/>
      <c r="AC45" s="46"/>
      <c r="AD45" s="46"/>
    </row>
    <row r="46" spans="3:30" x14ac:dyDescent="0.15">
      <c r="C46" s="299" t="str">
        <f>'Base figures'!C52</f>
        <v>Gituri Karuge (5)</v>
      </c>
      <c r="D46" s="119"/>
      <c r="E46" s="100"/>
      <c r="F46" s="116"/>
      <c r="G46" s="63">
        <v>0</v>
      </c>
      <c r="H46" s="63">
        <f>I46/2</f>
        <v>1485.9</v>
      </c>
      <c r="I46" s="63">
        <f>J46/2</f>
        <v>2971.8</v>
      </c>
      <c r="J46" s="63">
        <f>5943.6</f>
        <v>5943.6</v>
      </c>
      <c r="K46" s="63">
        <f>5943.6</f>
        <v>5943.6</v>
      </c>
      <c r="L46" s="63">
        <f>5943.6</f>
        <v>5943.6</v>
      </c>
      <c r="M46" s="63">
        <f t="shared" si="14"/>
        <v>5943.6</v>
      </c>
      <c r="N46" s="63">
        <f t="shared" si="14"/>
        <v>5943.6</v>
      </c>
      <c r="O46" s="63">
        <f t="shared" si="14"/>
        <v>5943.6</v>
      </c>
      <c r="P46" s="63">
        <f t="shared" si="14"/>
        <v>5943.6</v>
      </c>
      <c r="Q46" s="24"/>
      <c r="R46" s="24"/>
      <c r="S46" s="24"/>
      <c r="T46" s="24"/>
      <c r="U46" s="24"/>
      <c r="W46" s="13"/>
      <c r="X46" s="24"/>
      <c r="Y46" s="24"/>
      <c r="Z46" s="24"/>
      <c r="AA46" s="24"/>
      <c r="AB46" s="24"/>
      <c r="AC46" s="46"/>
      <c r="AD46" s="46"/>
    </row>
    <row r="47" spans="3:30" x14ac:dyDescent="0.15">
      <c r="C47" s="299" t="s">
        <v>318</v>
      </c>
      <c r="D47" s="119"/>
      <c r="E47" s="100"/>
      <c r="F47" s="116"/>
      <c r="G47" s="63"/>
      <c r="H47" s="63"/>
      <c r="I47" s="63"/>
      <c r="J47" s="63"/>
      <c r="K47" s="63">
        <f t="shared" ref="K47:P47" si="18">2853.39</f>
        <v>2853.39</v>
      </c>
      <c r="L47" s="63">
        <f t="shared" si="18"/>
        <v>2853.39</v>
      </c>
      <c r="M47" s="63">
        <f t="shared" si="18"/>
        <v>2853.39</v>
      </c>
      <c r="N47" s="63">
        <f t="shared" si="18"/>
        <v>2853.39</v>
      </c>
      <c r="O47" s="63">
        <f t="shared" si="18"/>
        <v>2853.39</v>
      </c>
      <c r="P47" s="63">
        <f t="shared" si="18"/>
        <v>2853.39</v>
      </c>
      <c r="Q47" s="24"/>
      <c r="R47" s="24"/>
      <c r="S47" s="24"/>
      <c r="T47" s="24"/>
      <c r="U47" s="24"/>
      <c r="W47" s="13"/>
      <c r="X47" s="24"/>
      <c r="Y47" s="24"/>
      <c r="Z47" s="24"/>
      <c r="AA47" s="24"/>
      <c r="AB47" s="24"/>
      <c r="AC47" s="46"/>
      <c r="AD47" s="46"/>
    </row>
    <row r="48" spans="3:30" ht="14" thickBot="1" x14ac:dyDescent="0.2">
      <c r="C48" s="1" t="s">
        <v>246</v>
      </c>
      <c r="D48" s="119"/>
      <c r="E48" s="100"/>
      <c r="F48" s="116"/>
      <c r="G48" s="362">
        <f t="shared" ref="G48:P48" si="19">SUM(G40:G47)</f>
        <v>0</v>
      </c>
      <c r="H48" s="362">
        <f t="shared" si="19"/>
        <v>13655.25</v>
      </c>
      <c r="I48" s="362">
        <f t="shared" si="19"/>
        <v>24952.999999999996</v>
      </c>
      <c r="J48" s="362">
        <f t="shared" si="19"/>
        <v>34522.6</v>
      </c>
      <c r="K48" s="362">
        <f t="shared" si="19"/>
        <v>47187.839999999997</v>
      </c>
      <c r="L48" s="362">
        <f t="shared" si="19"/>
        <v>47187.839999999997</v>
      </c>
      <c r="M48" s="362">
        <f t="shared" si="19"/>
        <v>47187.839999999997</v>
      </c>
      <c r="N48" s="362">
        <f t="shared" si="19"/>
        <v>47187.839999999997</v>
      </c>
      <c r="O48" s="362">
        <f t="shared" si="19"/>
        <v>47187.839999999997</v>
      </c>
      <c r="P48" s="362">
        <f t="shared" si="19"/>
        <v>47187.839999999997</v>
      </c>
      <c r="Q48" s="24"/>
      <c r="R48" s="24"/>
      <c r="S48" s="24"/>
      <c r="T48" s="24"/>
      <c r="U48" s="24"/>
      <c r="W48" s="13"/>
      <c r="X48" s="24"/>
      <c r="Y48" s="24"/>
      <c r="Z48" s="24"/>
      <c r="AA48" s="24"/>
      <c r="AB48" s="24"/>
      <c r="AC48" s="46"/>
      <c r="AD48" s="46"/>
    </row>
    <row r="49" spans="3:30" ht="14" thickTop="1" x14ac:dyDescent="0.15">
      <c r="C49" s="299"/>
      <c r="D49" s="119"/>
      <c r="E49" s="100"/>
      <c r="F49" s="116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24"/>
      <c r="R49" s="24"/>
      <c r="S49" s="24"/>
      <c r="T49" s="24"/>
      <c r="U49" s="24"/>
      <c r="W49" s="13"/>
      <c r="X49" s="24"/>
      <c r="Y49" s="24"/>
      <c r="Z49" s="24"/>
      <c r="AA49" s="24"/>
      <c r="AB49" s="24"/>
      <c r="AC49" s="46"/>
      <c r="AD49" s="46"/>
    </row>
    <row r="50" spans="3:30" ht="17" thickBot="1" x14ac:dyDescent="0.25">
      <c r="C50" s="372" t="s">
        <v>288</v>
      </c>
      <c r="D50" s="30"/>
      <c r="E50" s="406">
        <v>2018</v>
      </c>
      <c r="F50" s="407"/>
      <c r="G50" s="406">
        <v>2019</v>
      </c>
      <c r="H50" s="406">
        <v>2020</v>
      </c>
      <c r="I50" s="406">
        <v>2021</v>
      </c>
      <c r="J50" s="406">
        <v>2022</v>
      </c>
      <c r="K50" s="406">
        <v>2023</v>
      </c>
      <c r="L50" s="406">
        <v>2024</v>
      </c>
      <c r="M50" s="406">
        <v>2025</v>
      </c>
      <c r="N50" s="406">
        <v>2026</v>
      </c>
      <c r="O50" s="406">
        <v>2026</v>
      </c>
      <c r="P50" s="406">
        <v>2026</v>
      </c>
      <c r="Q50" s="24"/>
      <c r="R50" s="24"/>
      <c r="S50" s="24"/>
      <c r="T50" s="24"/>
      <c r="U50" s="24"/>
      <c r="W50" s="13"/>
      <c r="X50" s="24"/>
      <c r="Y50" s="24"/>
      <c r="Z50" s="24"/>
      <c r="AA50" s="24"/>
      <c r="AB50" s="24"/>
      <c r="AC50" s="46"/>
      <c r="AD50" s="46"/>
    </row>
    <row r="51" spans="3:30" ht="14" thickTop="1" x14ac:dyDescent="0.15">
      <c r="C51" s="299" t="s">
        <v>288</v>
      </c>
      <c r="D51" s="119"/>
      <c r="E51" s="63">
        <f>3700000/'Base figures'!I117</f>
        <v>32173.91304347826</v>
      </c>
      <c r="F51" s="116"/>
      <c r="G51" s="63">
        <v>100000</v>
      </c>
      <c r="H51" s="63">
        <v>150000</v>
      </c>
      <c r="I51" s="63">
        <v>150000</v>
      </c>
      <c r="J51" s="63"/>
      <c r="K51" s="63"/>
      <c r="L51" s="63"/>
      <c r="M51" s="63"/>
      <c r="N51" s="63"/>
      <c r="O51" s="63"/>
      <c r="P51" s="63"/>
      <c r="Q51" s="24"/>
      <c r="R51" s="24"/>
      <c r="S51" s="24"/>
      <c r="T51" s="24"/>
      <c r="U51" s="24"/>
      <c r="W51" s="13"/>
      <c r="X51" s="24"/>
      <c r="Y51" s="24"/>
      <c r="Z51" s="24"/>
      <c r="AA51" s="24"/>
      <c r="AB51" s="24"/>
      <c r="AC51" s="46"/>
      <c r="AD51" s="46"/>
    </row>
    <row r="52" spans="3:30" ht="14" thickBot="1" x14ac:dyDescent="0.2">
      <c r="C52" s="1" t="s">
        <v>246</v>
      </c>
      <c r="D52" s="119"/>
      <c r="E52" s="362">
        <f>E51</f>
        <v>32173.91304347826</v>
      </c>
      <c r="F52" s="116"/>
      <c r="G52" s="362">
        <f>G51</f>
        <v>100000</v>
      </c>
      <c r="H52" s="362">
        <f t="shared" ref="H52:N52" si="20">H51</f>
        <v>150000</v>
      </c>
      <c r="I52" s="362">
        <f t="shared" si="20"/>
        <v>150000</v>
      </c>
      <c r="J52" s="362">
        <f t="shared" si="20"/>
        <v>0</v>
      </c>
      <c r="K52" s="362">
        <f t="shared" si="20"/>
        <v>0</v>
      </c>
      <c r="L52" s="362">
        <f t="shared" si="20"/>
        <v>0</v>
      </c>
      <c r="M52" s="362">
        <f t="shared" si="20"/>
        <v>0</v>
      </c>
      <c r="N52" s="362">
        <f t="shared" si="20"/>
        <v>0</v>
      </c>
      <c r="O52" s="362">
        <f t="shared" ref="O52:P52" si="21">O51</f>
        <v>0</v>
      </c>
      <c r="P52" s="362">
        <f t="shared" si="21"/>
        <v>0</v>
      </c>
      <c r="Q52" s="24"/>
      <c r="R52" s="24"/>
      <c r="S52" s="24"/>
      <c r="T52" s="24"/>
      <c r="U52" s="24"/>
      <c r="W52" s="13"/>
      <c r="X52" s="24"/>
      <c r="Y52" s="24"/>
      <c r="Z52" s="24"/>
      <c r="AA52" s="24"/>
      <c r="AB52" s="24"/>
      <c r="AC52" s="46"/>
      <c r="AD52" s="46"/>
    </row>
    <row r="53" spans="3:30" s="25" customFormat="1" ht="15" thickTop="1" thickBot="1" x14ac:dyDescent="0.2">
      <c r="C53" s="52"/>
      <c r="D53" s="119"/>
      <c r="E53" s="373"/>
      <c r="F53" s="119"/>
      <c r="G53" s="374"/>
      <c r="H53" s="374"/>
      <c r="I53" s="374"/>
      <c r="J53" s="374"/>
      <c r="K53" s="374"/>
      <c r="L53" s="375"/>
      <c r="M53" s="375"/>
      <c r="N53" s="375"/>
      <c r="O53" s="375"/>
      <c r="P53" s="375"/>
      <c r="Q53" s="26"/>
      <c r="R53" s="26"/>
      <c r="S53" s="26"/>
      <c r="T53" s="26"/>
      <c r="U53" s="26"/>
      <c r="W53" s="22"/>
      <c r="X53" s="26"/>
      <c r="Y53" s="26"/>
      <c r="Z53" s="26"/>
      <c r="AA53" s="26"/>
      <c r="AB53" s="26"/>
      <c r="AC53" s="46"/>
      <c r="AD53" s="46"/>
    </row>
    <row r="54" spans="3:30" ht="18" thickTop="1" thickBot="1" x14ac:dyDescent="0.25">
      <c r="C54" s="372" t="s">
        <v>245</v>
      </c>
      <c r="D54" s="59"/>
      <c r="E54" s="408">
        <f>SUM(E18,E27,E36,E48,E52)</f>
        <v>37149.021739130432</v>
      </c>
      <c r="F54" s="409"/>
      <c r="G54" s="408">
        <f>SUM(G18,G27,G36,G48,G52)</f>
        <v>147463.04347826086</v>
      </c>
      <c r="H54" s="408">
        <f>SUM(H18,H27,H36,H48)</f>
        <v>383081.07956521749</v>
      </c>
      <c r="I54" s="408">
        <f>SUM(I18,I27,I36,I48)</f>
        <v>748532.73913043481</v>
      </c>
      <c r="J54" s="408">
        <f>SUM(J18,J27,J36,J48)</f>
        <v>1010767.8107652174</v>
      </c>
      <c r="K54" s="408">
        <f>SUM(K18,K27,K36,K48)</f>
        <v>1293463.8160641307</v>
      </c>
      <c r="L54" s="408">
        <f t="shared" ref="L54:N54" si="22">SUM(L18,L27,L36,L48)</f>
        <v>1307361.9619010873</v>
      </c>
      <c r="M54" s="408">
        <f t="shared" si="22"/>
        <v>1295867.8977839679</v>
      </c>
      <c r="N54" s="408">
        <f t="shared" si="22"/>
        <v>1311190.4348088184</v>
      </c>
      <c r="O54" s="408">
        <f t="shared" ref="O54:P54" si="23">SUM(O18,O27,O36,O48)</f>
        <v>1327279.0986849114</v>
      </c>
      <c r="P54" s="408">
        <f t="shared" si="23"/>
        <v>1344172.1957548091</v>
      </c>
      <c r="Q54" s="24"/>
      <c r="R54" s="24"/>
      <c r="S54" s="24"/>
      <c r="T54" s="24"/>
      <c r="U54" s="24"/>
      <c r="W54" s="13"/>
      <c r="X54" s="24"/>
      <c r="Y54" s="24"/>
      <c r="Z54" s="24"/>
      <c r="AA54" s="24"/>
      <c r="AB54" s="24"/>
      <c r="AC54" s="46"/>
      <c r="AD54" s="46"/>
    </row>
    <row r="55" spans="3:30" ht="14" thickTop="1" x14ac:dyDescent="0.15"/>
    <row r="61" spans="3:30" x14ac:dyDescent="0.15">
      <c r="E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24"/>
      <c r="R61" s="24"/>
      <c r="S61" s="24"/>
      <c r="T61" s="24"/>
      <c r="U61" s="24"/>
    </row>
    <row r="62" spans="3:30" x14ac:dyDescent="0.15">
      <c r="E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24"/>
      <c r="R62" s="24"/>
      <c r="S62" s="24"/>
      <c r="T62" s="24"/>
      <c r="U62" s="24"/>
    </row>
    <row r="63" spans="3:30" x14ac:dyDescent="0.15">
      <c r="E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24"/>
      <c r="R63" s="24"/>
      <c r="S63" s="24"/>
      <c r="T63" s="24"/>
      <c r="U63" s="24"/>
    </row>
    <row r="64" spans="3:30" x14ac:dyDescent="0.15">
      <c r="D64" s="120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34"/>
      <c r="R64" s="34"/>
      <c r="S64" s="34"/>
      <c r="T64" s="34"/>
      <c r="U64" s="34"/>
    </row>
    <row r="65" spans="4:21" x14ac:dyDescent="0.15">
      <c r="D65" s="121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42"/>
      <c r="R65" s="42"/>
      <c r="S65" s="42"/>
      <c r="T65" s="42"/>
      <c r="U65" s="42"/>
    </row>
    <row r="66" spans="4:21" x14ac:dyDescent="0.15">
      <c r="D66" s="120"/>
      <c r="E66" s="66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0"/>
      <c r="R66" s="20"/>
      <c r="S66" s="20"/>
      <c r="T66" s="20"/>
      <c r="U66" s="20"/>
    </row>
    <row r="67" spans="4:21" x14ac:dyDescent="0.15">
      <c r="E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24"/>
      <c r="R67" s="24"/>
      <c r="S67" s="24"/>
      <c r="T67" s="24"/>
      <c r="U67" s="24"/>
    </row>
    <row r="68" spans="4:21" x14ac:dyDescent="0.15">
      <c r="E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24"/>
      <c r="R68" s="24"/>
      <c r="S68" s="24"/>
      <c r="T68" s="24"/>
      <c r="U68" s="24"/>
    </row>
    <row r="69" spans="4:21" x14ac:dyDescent="0.15">
      <c r="E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24"/>
      <c r="R69" s="24"/>
      <c r="S69" s="24"/>
      <c r="T69" s="24"/>
      <c r="U69" s="24"/>
    </row>
    <row r="70" spans="4:21" x14ac:dyDescent="0.15">
      <c r="E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24"/>
      <c r="R70" s="24"/>
      <c r="S70" s="24"/>
      <c r="T70" s="24"/>
      <c r="U70" s="24"/>
    </row>
    <row r="71" spans="4:21" ht="16" x14ac:dyDescent="0.2">
      <c r="D71" s="122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41"/>
      <c r="R71" s="41"/>
      <c r="S71" s="41"/>
      <c r="T71" s="34"/>
      <c r="U71" s="34"/>
    </row>
    <row r="72" spans="4:21" x14ac:dyDescent="0.15">
      <c r="E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24"/>
      <c r="R72" s="24"/>
      <c r="S72" s="24"/>
      <c r="T72" s="24"/>
      <c r="U72" s="24"/>
    </row>
    <row r="73" spans="4:21" x14ac:dyDescent="0.15">
      <c r="D73" s="120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34"/>
      <c r="R73" s="34"/>
      <c r="S73" s="34"/>
      <c r="T73" s="24"/>
      <c r="U73" s="24"/>
    </row>
    <row r="74" spans="4:21" x14ac:dyDescent="0.15">
      <c r="D74" s="120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34"/>
      <c r="R74" s="34"/>
      <c r="S74" s="34"/>
      <c r="T74" s="24"/>
      <c r="U74" s="24"/>
    </row>
    <row r="75" spans="4:21" x14ac:dyDescent="0.15">
      <c r="E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24"/>
      <c r="R75" s="24"/>
      <c r="S75" s="24"/>
      <c r="T75" s="24"/>
      <c r="U75" s="24"/>
    </row>
    <row r="76" spans="4:21" x14ac:dyDescent="0.15">
      <c r="E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24"/>
      <c r="R76" s="24"/>
      <c r="S76" s="24"/>
      <c r="T76" s="24"/>
      <c r="U76" s="24"/>
    </row>
    <row r="77" spans="4:21" x14ac:dyDescent="0.15">
      <c r="E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24"/>
      <c r="R77" s="24"/>
      <c r="S77" s="24"/>
      <c r="T77" s="24"/>
      <c r="U77" s="24"/>
    </row>
    <row r="78" spans="4:21" x14ac:dyDescent="0.15">
      <c r="E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24"/>
      <c r="R78" s="24"/>
      <c r="S78" s="24"/>
      <c r="T78" s="24"/>
      <c r="U78" s="24"/>
    </row>
    <row r="79" spans="4:21" x14ac:dyDescent="0.15">
      <c r="E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24"/>
      <c r="R79" s="24"/>
      <c r="S79" s="24"/>
      <c r="T79" s="24"/>
      <c r="U79" s="24"/>
    </row>
    <row r="80" spans="4:21" x14ac:dyDescent="0.15">
      <c r="E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24"/>
      <c r="R80" s="24"/>
      <c r="S80" s="24"/>
      <c r="T80" s="24"/>
      <c r="U80" s="24"/>
    </row>
    <row r="81" spans="4:21" x14ac:dyDescent="0.15">
      <c r="E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24"/>
      <c r="R81" s="24"/>
      <c r="S81" s="24"/>
      <c r="T81" s="24"/>
      <c r="U81" s="24"/>
    </row>
    <row r="82" spans="4:21" x14ac:dyDescent="0.15">
      <c r="E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24"/>
      <c r="R82" s="24"/>
      <c r="S82" s="24"/>
      <c r="T82" s="24"/>
      <c r="U82" s="24"/>
    </row>
    <row r="83" spans="4:21" x14ac:dyDescent="0.15"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26"/>
      <c r="R83" s="26"/>
      <c r="S83" s="26"/>
      <c r="T83" s="24"/>
      <c r="U83" s="24"/>
    </row>
    <row r="84" spans="4:21" x14ac:dyDescent="0.15">
      <c r="E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24"/>
      <c r="R84" s="24"/>
      <c r="S84" s="24"/>
      <c r="T84" s="24"/>
      <c r="U84" s="24"/>
    </row>
    <row r="85" spans="4:21" x14ac:dyDescent="0.15">
      <c r="E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24"/>
      <c r="R85" s="24"/>
      <c r="S85" s="24"/>
      <c r="T85" s="24"/>
      <c r="U85" s="24"/>
    </row>
    <row r="86" spans="4:21" x14ac:dyDescent="0.15">
      <c r="D86" s="120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34"/>
      <c r="R86" s="34"/>
      <c r="S86" s="34"/>
      <c r="T86" s="24"/>
      <c r="U86" s="24"/>
    </row>
    <row r="87" spans="4:21" x14ac:dyDescent="0.15">
      <c r="E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24"/>
      <c r="R87" s="24"/>
      <c r="S87" s="24"/>
      <c r="T87" s="24"/>
      <c r="U87" s="24"/>
    </row>
    <row r="88" spans="4:21" x14ac:dyDescent="0.15">
      <c r="E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24"/>
      <c r="R88" s="24"/>
      <c r="S88" s="24"/>
      <c r="T88" s="24"/>
      <c r="U88" s="24"/>
    </row>
  </sheetData>
  <mergeCells count="1">
    <mergeCell ref="E40:E41"/>
  </mergeCells>
  <phoneticPr fontId="5" type="noConversion"/>
  <pageMargins left="0.25" right="0.28000000000000003" top="1" bottom="1" header="0.5" footer="0.5"/>
  <pageSetup paperSize="9" scale="57" orientation="landscape" copies="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indexed="13"/>
    <pageSetUpPr fitToPage="1"/>
  </sheetPr>
  <dimension ref="B9:R43"/>
  <sheetViews>
    <sheetView showGridLines="0" tabSelected="1" topLeftCell="A10" workbookViewId="0">
      <selection activeCell="B16" sqref="B16"/>
    </sheetView>
  </sheetViews>
  <sheetFormatPr baseColWidth="10" defaultColWidth="8.83203125" defaultRowHeight="13" x14ac:dyDescent="0.15"/>
  <cols>
    <col min="1" max="1" width="6" customWidth="1"/>
    <col min="2" max="2" width="40.5" customWidth="1"/>
    <col min="3" max="3" width="14" style="62" bestFit="1" customWidth="1"/>
    <col min="4" max="4" width="6.1640625" style="116" customWidth="1"/>
    <col min="5" max="5" width="13.33203125" style="62" bestFit="1" customWidth="1"/>
    <col min="6" max="6" width="16.33203125" style="62" customWidth="1"/>
    <col min="7" max="7" width="13.6640625" style="62" bestFit="1" customWidth="1"/>
    <col min="8" max="14" width="13.6640625" style="62" customWidth="1"/>
    <col min="16" max="16" width="9" bestFit="1" customWidth="1"/>
    <col min="17" max="17" width="1.1640625" customWidth="1"/>
    <col min="18" max="18" width="9" bestFit="1" customWidth="1"/>
  </cols>
  <sheetData>
    <row r="9" spans="2:18" ht="16" x14ac:dyDescent="0.2">
      <c r="B9" s="102" t="s">
        <v>30</v>
      </c>
      <c r="E9" s="72"/>
      <c r="F9" s="72"/>
      <c r="G9" s="72"/>
      <c r="H9" s="72"/>
      <c r="P9" s="437"/>
      <c r="Q9" s="437"/>
      <c r="R9" s="437"/>
    </row>
    <row r="11" spans="2:18" ht="14" thickBot="1" x14ac:dyDescent="0.2">
      <c r="B11" s="21" t="s">
        <v>185</v>
      </c>
      <c r="C11" s="57">
        <f>'Base figures'!I10</f>
        <v>2018</v>
      </c>
      <c r="D11" s="16"/>
      <c r="E11" s="57">
        <f>'Base figures'!K10</f>
        <v>2019</v>
      </c>
      <c r="F11" s="57">
        <f>'Base figures'!L10</f>
        <v>2020</v>
      </c>
      <c r="G11" s="57">
        <f>'Base figures'!M10</f>
        <v>2021</v>
      </c>
      <c r="H11" s="57">
        <f>'Base figures'!N10</f>
        <v>2022</v>
      </c>
      <c r="I11" s="57">
        <f>'Base figures'!O10</f>
        <v>2023</v>
      </c>
      <c r="J11" s="57">
        <f>'Base figures'!P10</f>
        <v>2024</v>
      </c>
      <c r="K11" s="57">
        <f>'Base figures'!Q10</f>
        <v>2025</v>
      </c>
      <c r="L11" s="57">
        <f>'Base figures'!R10</f>
        <v>2026</v>
      </c>
      <c r="M11" s="57">
        <v>2027</v>
      </c>
      <c r="N11" s="57">
        <v>2028</v>
      </c>
    </row>
    <row r="12" spans="2:18" ht="14" thickTop="1" x14ac:dyDescent="0.15"/>
    <row r="13" spans="2:18" x14ac:dyDescent="0.15">
      <c r="B13" t="s">
        <v>312</v>
      </c>
      <c r="C13" s="238">
        <f>344.5*50</f>
        <v>17225</v>
      </c>
      <c r="D13" s="225"/>
      <c r="E13" s="385">
        <f>2500*12</f>
        <v>30000</v>
      </c>
      <c r="F13" s="385">
        <f t="shared" ref="F13:N13" si="0">2500*12</f>
        <v>30000</v>
      </c>
      <c r="G13" s="385">
        <f t="shared" si="0"/>
        <v>30000</v>
      </c>
      <c r="H13" s="385">
        <f t="shared" si="0"/>
        <v>30000</v>
      </c>
      <c r="I13" s="385">
        <f t="shared" si="0"/>
        <v>30000</v>
      </c>
      <c r="J13" s="385">
        <f t="shared" si="0"/>
        <v>30000</v>
      </c>
      <c r="K13" s="385">
        <f t="shared" si="0"/>
        <v>30000</v>
      </c>
      <c r="L13" s="385">
        <f t="shared" si="0"/>
        <v>30000</v>
      </c>
      <c r="M13" s="385">
        <f t="shared" si="0"/>
        <v>30000</v>
      </c>
      <c r="N13" s="385">
        <f t="shared" si="0"/>
        <v>30000</v>
      </c>
    </row>
    <row r="14" spans="2:18" x14ac:dyDescent="0.15">
      <c r="B14" t="s">
        <v>290</v>
      </c>
      <c r="C14" s="238">
        <v>0</v>
      </c>
      <c r="D14" s="225"/>
      <c r="E14" s="385">
        <f>1500*6</f>
        <v>9000</v>
      </c>
      <c r="F14" s="385">
        <f>1500*12</f>
        <v>18000</v>
      </c>
      <c r="G14" s="385">
        <v>9000</v>
      </c>
      <c r="H14" s="385">
        <v>0</v>
      </c>
      <c r="I14" s="385">
        <v>0</v>
      </c>
      <c r="J14" s="385">
        <v>0</v>
      </c>
      <c r="K14" s="385">
        <v>0</v>
      </c>
      <c r="L14" s="385">
        <v>0</v>
      </c>
      <c r="M14" s="385">
        <v>0</v>
      </c>
      <c r="N14" s="385">
        <v>0</v>
      </c>
    </row>
    <row r="15" spans="2:18" x14ac:dyDescent="0.15">
      <c r="B15" t="s">
        <v>339</v>
      </c>
      <c r="C15" s="238">
        <v>0</v>
      </c>
      <c r="D15" s="225"/>
      <c r="E15" s="255">
        <v>6000</v>
      </c>
      <c r="F15" s="255">
        <v>12000</v>
      </c>
      <c r="G15" s="255">
        <v>12000</v>
      </c>
      <c r="H15" s="255">
        <v>12000</v>
      </c>
      <c r="I15" s="255">
        <v>12000</v>
      </c>
      <c r="J15" s="255">
        <v>12000</v>
      </c>
      <c r="K15" s="255">
        <v>12000</v>
      </c>
      <c r="L15" s="255">
        <v>12000</v>
      </c>
      <c r="M15" s="255">
        <v>12000</v>
      </c>
      <c r="N15" s="255">
        <v>12000</v>
      </c>
      <c r="O15" s="255"/>
    </row>
    <row r="16" spans="2:18" x14ac:dyDescent="0.15">
      <c r="B16" t="s">
        <v>326</v>
      </c>
      <c r="C16" s="238">
        <f>364.5*50</f>
        <v>18225</v>
      </c>
      <c r="D16" s="225"/>
      <c r="E16" s="255"/>
      <c r="F16" s="255"/>
      <c r="G16" s="255"/>
      <c r="H16" s="72"/>
      <c r="I16" s="72"/>
      <c r="J16" s="72"/>
      <c r="K16" s="72"/>
      <c r="L16" s="72"/>
      <c r="M16" s="72"/>
      <c r="N16" s="72"/>
      <c r="O16" s="255"/>
    </row>
    <row r="17" spans="2:18" x14ac:dyDescent="0.15">
      <c r="B17" s="13" t="s">
        <v>191</v>
      </c>
      <c r="C17" s="317">
        <f>350*2</f>
        <v>700</v>
      </c>
      <c r="D17" s="225"/>
      <c r="E17" s="72">
        <f>350*12</f>
        <v>4200</v>
      </c>
      <c r="F17" s="72">
        <f t="shared" ref="F17:N17" si="1">E17*1.05</f>
        <v>4410</v>
      </c>
      <c r="G17" s="72">
        <f t="shared" si="1"/>
        <v>4630.5</v>
      </c>
      <c r="H17" s="72">
        <f t="shared" si="1"/>
        <v>4862.0250000000005</v>
      </c>
      <c r="I17" s="72">
        <f t="shared" si="1"/>
        <v>5105.1262500000012</v>
      </c>
      <c r="J17" s="72">
        <f t="shared" si="1"/>
        <v>5360.3825625000018</v>
      </c>
      <c r="K17" s="72">
        <f t="shared" si="1"/>
        <v>5628.4016906250017</v>
      </c>
      <c r="L17" s="72">
        <f t="shared" si="1"/>
        <v>5909.8217751562524</v>
      </c>
      <c r="M17" s="72">
        <f t="shared" si="1"/>
        <v>6205.312863914065</v>
      </c>
      <c r="N17" s="72">
        <f t="shared" si="1"/>
        <v>6515.5785071097689</v>
      </c>
    </row>
    <row r="18" spans="2:18" x14ac:dyDescent="0.15">
      <c r="B18" s="13" t="s">
        <v>337</v>
      </c>
      <c r="C18" s="317"/>
      <c r="D18" s="227"/>
      <c r="E18" s="256">
        <v>10000</v>
      </c>
      <c r="F18" s="256">
        <v>10000</v>
      </c>
      <c r="G18" s="256">
        <v>10000</v>
      </c>
      <c r="H18" s="256">
        <v>10000</v>
      </c>
      <c r="I18" s="256">
        <v>10000</v>
      </c>
      <c r="J18" s="256">
        <v>10000</v>
      </c>
      <c r="K18" s="256">
        <v>10000</v>
      </c>
      <c r="L18" s="256">
        <v>10000</v>
      </c>
      <c r="M18" s="256">
        <v>10000</v>
      </c>
      <c r="N18" s="256">
        <v>10000</v>
      </c>
    </row>
    <row r="19" spans="2:18" x14ac:dyDescent="0.15">
      <c r="B19" s="72"/>
      <c r="C19" s="260"/>
      <c r="D19" s="225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8" ht="14" thickBot="1" x14ac:dyDescent="0.2">
      <c r="B20" s="72"/>
      <c r="C20" s="73">
        <f>SUM(C13:C19)</f>
        <v>36150</v>
      </c>
      <c r="D20" s="75"/>
      <c r="E20" s="73">
        <f t="shared" ref="E20:L20" si="2">SUM(E13:E19)</f>
        <v>59200</v>
      </c>
      <c r="F20" s="73">
        <f t="shared" si="2"/>
        <v>74410</v>
      </c>
      <c r="G20" s="73">
        <f t="shared" si="2"/>
        <v>65630.5</v>
      </c>
      <c r="H20" s="73">
        <f t="shared" si="2"/>
        <v>56862.025000000001</v>
      </c>
      <c r="I20" s="73">
        <f t="shared" si="2"/>
        <v>57105.126250000001</v>
      </c>
      <c r="J20" s="73">
        <f t="shared" si="2"/>
        <v>57360.382562500003</v>
      </c>
      <c r="K20" s="73">
        <f t="shared" si="2"/>
        <v>57628.401690625004</v>
      </c>
      <c r="L20" s="73">
        <f t="shared" si="2"/>
        <v>57909.821775156255</v>
      </c>
      <c r="M20" s="73">
        <f t="shared" ref="M20:N20" si="3">SUM(M13:M19)</f>
        <v>58205.312863914063</v>
      </c>
      <c r="N20" s="73">
        <f t="shared" si="3"/>
        <v>58515.578507109771</v>
      </c>
    </row>
    <row r="21" spans="2:18" ht="14" thickTop="1" x14ac:dyDescent="0.15">
      <c r="B21" s="72"/>
    </row>
    <row r="22" spans="2:18" s="21" customFormat="1" ht="14" thickBot="1" x14ac:dyDescent="0.2">
      <c r="B22" s="21" t="s">
        <v>186</v>
      </c>
      <c r="C22" s="57">
        <f>C11</f>
        <v>2018</v>
      </c>
      <c r="D22" s="16"/>
      <c r="E22" s="57">
        <f t="shared" ref="E22:L22" si="4">E11</f>
        <v>2019</v>
      </c>
      <c r="F22" s="57">
        <f t="shared" si="4"/>
        <v>2020</v>
      </c>
      <c r="G22" s="57">
        <f t="shared" si="4"/>
        <v>2021</v>
      </c>
      <c r="H22" s="57">
        <f t="shared" si="4"/>
        <v>2022</v>
      </c>
      <c r="I22" s="57">
        <f t="shared" si="4"/>
        <v>2023</v>
      </c>
      <c r="J22" s="57">
        <f t="shared" si="4"/>
        <v>2024</v>
      </c>
      <c r="K22" s="57">
        <f t="shared" si="4"/>
        <v>2025</v>
      </c>
      <c r="L22" s="57">
        <f t="shared" si="4"/>
        <v>2026</v>
      </c>
      <c r="M22" s="57">
        <f t="shared" ref="M22:N22" si="5">M11</f>
        <v>2027</v>
      </c>
      <c r="N22" s="57">
        <f t="shared" si="5"/>
        <v>2028</v>
      </c>
      <c r="P22" s="71"/>
      <c r="Q22" s="71"/>
      <c r="R22" s="71"/>
    </row>
    <row r="23" spans="2:18" ht="14" thickTop="1" x14ac:dyDescent="0.15">
      <c r="B23" s="384"/>
    </row>
    <row r="24" spans="2:18" x14ac:dyDescent="0.15">
      <c r="B24" s="384" t="s">
        <v>254</v>
      </c>
      <c r="C24" s="194">
        <f>50000*6/'Base figures'!K$117</f>
        <v>2608.695652173913</v>
      </c>
      <c r="E24" s="194">
        <f>60000*12/'Base figures'!K$117</f>
        <v>6260.869565217391</v>
      </c>
      <c r="F24" s="194">
        <f>75000*12/'Base figures'!L$117</f>
        <v>7826.086956521739</v>
      </c>
      <c r="G24" s="194">
        <f>100000*12/'Base figures'!M$117</f>
        <v>10434.782608695652</v>
      </c>
      <c r="H24" s="194">
        <f t="shared" ref="H24:N24" si="6">G24*1.05</f>
        <v>10956.521739130436</v>
      </c>
      <c r="I24" s="194">
        <f t="shared" si="6"/>
        <v>11504.347826086958</v>
      </c>
      <c r="J24" s="194">
        <f t="shared" si="6"/>
        <v>12079.565217391306</v>
      </c>
      <c r="K24" s="194">
        <f t="shared" si="6"/>
        <v>12683.543478260872</v>
      </c>
      <c r="L24" s="194">
        <f t="shared" si="6"/>
        <v>13317.720652173915</v>
      </c>
      <c r="M24" s="194">
        <f t="shared" si="6"/>
        <v>13983.606684782611</v>
      </c>
      <c r="N24" s="194">
        <f t="shared" si="6"/>
        <v>14682.787019021742</v>
      </c>
    </row>
    <row r="25" spans="2:18" x14ac:dyDescent="0.15">
      <c r="B25" s="384" t="s">
        <v>255</v>
      </c>
      <c r="C25" s="62">
        <v>0</v>
      </c>
      <c r="E25" s="194">
        <f>50%*100000*12/'Base figures'!K$117</f>
        <v>5217.391304347826</v>
      </c>
      <c r="F25" s="194">
        <f>50%*100000*12/'Base figures'!L$117</f>
        <v>5217.391304347826</v>
      </c>
      <c r="G25" s="194">
        <f>50%*100000*12/'Base figures'!M$117</f>
        <v>5217.391304347826</v>
      </c>
      <c r="H25" s="194">
        <f>50%*100000*12/'Base figures'!N$117</f>
        <v>5217.391304347826</v>
      </c>
      <c r="I25" s="194">
        <f>50%*100000*12/'Base figures'!O$117</f>
        <v>5217.391304347826</v>
      </c>
      <c r="J25" s="194">
        <f>50%*100000*12/'Base figures'!P$117</f>
        <v>5217.391304347826</v>
      </c>
      <c r="K25" s="194">
        <f>50%*100000*12/'Base figures'!Q$117</f>
        <v>5217.391304347826</v>
      </c>
      <c r="L25" s="194">
        <f>50%*100000*12/'Base figures'!R$117</f>
        <v>5217.391304347826</v>
      </c>
      <c r="M25" s="194">
        <f>50%*100000*12/'Base figures'!S$117</f>
        <v>5217.391304347826</v>
      </c>
      <c r="N25" s="194">
        <f>50%*100000*12/'Base figures'!T$117</f>
        <v>5217.391304347826</v>
      </c>
    </row>
    <row r="26" spans="2:18" x14ac:dyDescent="0.15">
      <c r="B26" s="384"/>
      <c r="F26" s="194"/>
      <c r="G26" s="194"/>
      <c r="H26" s="194"/>
      <c r="I26" s="194"/>
      <c r="J26" s="194"/>
      <c r="K26" s="194"/>
      <c r="L26" s="194"/>
      <c r="M26" s="194"/>
      <c r="N26" s="194"/>
    </row>
    <row r="27" spans="2:18" x14ac:dyDescent="0.15">
      <c r="B27" s="384" t="s">
        <v>256</v>
      </c>
      <c r="E27" s="194">
        <f>120000*6/'Base figures'!K$117</f>
        <v>6260.869565217391</v>
      </c>
      <c r="F27" s="194">
        <f>140000*12/'Base figures'!L$117</f>
        <v>14608.695652173914</v>
      </c>
      <c r="G27" s="194">
        <f>F27*1.05</f>
        <v>15339.13043478261</v>
      </c>
      <c r="H27" s="194">
        <f t="shared" ref="H27:N27" si="7">G27*1.05</f>
        <v>16106.086956521742</v>
      </c>
      <c r="I27" s="194">
        <f t="shared" si="7"/>
        <v>16911.391304347828</v>
      </c>
      <c r="J27" s="194">
        <f t="shared" si="7"/>
        <v>17756.96086956522</v>
      </c>
      <c r="K27" s="194">
        <f t="shared" si="7"/>
        <v>18644.808913043482</v>
      </c>
      <c r="L27" s="194">
        <f t="shared" si="7"/>
        <v>19577.049358695658</v>
      </c>
      <c r="M27" s="194">
        <f t="shared" si="7"/>
        <v>20555.901826630441</v>
      </c>
      <c r="N27" s="194">
        <f t="shared" si="7"/>
        <v>21583.696917961963</v>
      </c>
    </row>
    <row r="28" spans="2:18" x14ac:dyDescent="0.15">
      <c r="B28" s="384" t="s">
        <v>253</v>
      </c>
      <c r="C28" s="194">
        <f>(7*11+4*1)*7000/'Base figures'!K$117</f>
        <v>4930.434782608696</v>
      </c>
      <c r="E28" s="194">
        <f>1*25000*12/'Base figures'!K$117</f>
        <v>2608.695652173913</v>
      </c>
      <c r="F28" s="194">
        <f>4*25000*12/'Base figures'!L$117</f>
        <v>10434.782608695652</v>
      </c>
      <c r="G28" s="194">
        <f>6*25000*12/'Base figures'!M$117</f>
        <v>15652.173913043478</v>
      </c>
      <c r="H28" s="194">
        <f>6*25000*12/'Base figures'!N$117</f>
        <v>15652.173913043478</v>
      </c>
      <c r="I28" s="194">
        <f>6*25000*12/'Base figures'!O$117</f>
        <v>15652.173913043478</v>
      </c>
      <c r="J28" s="194">
        <f t="shared" ref="J28:J29" si="8">I28*1.05</f>
        <v>16434.782608695652</v>
      </c>
      <c r="K28" s="194">
        <f t="shared" ref="K28:K29" si="9">J28*1.05</f>
        <v>17256.521739130436</v>
      </c>
      <c r="L28" s="194">
        <f t="shared" ref="L28:N29" si="10">K28*1.05</f>
        <v>18119.34782608696</v>
      </c>
      <c r="M28" s="194">
        <f t="shared" si="10"/>
        <v>19025.315217391308</v>
      </c>
      <c r="N28" s="194">
        <f t="shared" si="10"/>
        <v>19976.580978260874</v>
      </c>
    </row>
    <row r="29" spans="2:18" x14ac:dyDescent="0.15">
      <c r="B29" s="384" t="s">
        <v>257</v>
      </c>
      <c r="E29" s="194"/>
      <c r="F29" s="194">
        <f>100000*12/'Base figures'!L$117</f>
        <v>10434.782608695652</v>
      </c>
      <c r="G29" s="194">
        <f>F29*1.05</f>
        <v>10956.521739130436</v>
      </c>
      <c r="H29" s="194">
        <f t="shared" ref="H29:I29" si="11">G29*1.05</f>
        <v>11504.347826086958</v>
      </c>
      <c r="I29" s="194">
        <f t="shared" si="11"/>
        <v>12079.565217391306</v>
      </c>
      <c r="J29" s="194">
        <f t="shared" si="8"/>
        <v>12683.543478260872</v>
      </c>
      <c r="K29" s="194">
        <f t="shared" si="9"/>
        <v>13317.720652173915</v>
      </c>
      <c r="L29" s="194">
        <f t="shared" si="10"/>
        <v>13983.606684782611</v>
      </c>
      <c r="M29" s="194">
        <f t="shared" si="10"/>
        <v>14682.787019021742</v>
      </c>
      <c r="N29" s="194">
        <f t="shared" si="10"/>
        <v>15416.926369972829</v>
      </c>
    </row>
    <row r="30" spans="2:18" x14ac:dyDescent="0.15">
      <c r="B30" s="384" t="s">
        <v>321</v>
      </c>
      <c r="E30" s="194">
        <f>30000*12/'Base figures'!K$117</f>
        <v>3130.4347826086955</v>
      </c>
      <c r="F30" s="194"/>
      <c r="G30" s="194"/>
      <c r="H30" s="194"/>
      <c r="I30" s="194"/>
      <c r="J30" s="194"/>
      <c r="K30" s="194"/>
      <c r="L30" s="194"/>
      <c r="M30" s="194"/>
      <c r="N30" s="194"/>
    </row>
    <row r="31" spans="2:18" x14ac:dyDescent="0.15">
      <c r="F31" s="194"/>
      <c r="G31" s="194"/>
      <c r="H31" s="194"/>
      <c r="I31" s="194"/>
      <c r="J31" s="194"/>
      <c r="K31" s="194"/>
      <c r="L31" s="194"/>
      <c r="M31" s="194"/>
      <c r="N31" s="194"/>
    </row>
    <row r="32" spans="2:18" x14ac:dyDescent="0.15">
      <c r="B32" s="384" t="s">
        <v>258</v>
      </c>
      <c r="F32" s="194">
        <f>40000*12/'Base figures'!L$117</f>
        <v>4173.913043478261</v>
      </c>
      <c r="G32" s="194">
        <f t="shared" ref="G32:N32" si="12">F32*1.05</f>
        <v>4382.608695652174</v>
      </c>
      <c r="H32" s="194">
        <f t="shared" si="12"/>
        <v>4601.739130434783</v>
      </c>
      <c r="I32" s="194">
        <f t="shared" si="12"/>
        <v>4831.826086956522</v>
      </c>
      <c r="J32" s="194">
        <f t="shared" si="12"/>
        <v>5073.4173913043487</v>
      </c>
      <c r="K32" s="194">
        <f t="shared" si="12"/>
        <v>5327.0882608695665</v>
      </c>
      <c r="L32" s="194">
        <f t="shared" si="12"/>
        <v>5593.4426739130449</v>
      </c>
      <c r="M32" s="194">
        <f t="shared" si="12"/>
        <v>5873.1148076086974</v>
      </c>
      <c r="N32" s="194">
        <f t="shared" si="12"/>
        <v>6166.7705479891329</v>
      </c>
    </row>
    <row r="33" spans="2:14" x14ac:dyDescent="0.15">
      <c r="B33" s="384" t="s">
        <v>192</v>
      </c>
      <c r="E33" s="194"/>
      <c r="F33" s="194">
        <f>50000*12/'Base figures'!L$117</f>
        <v>5217.391304347826</v>
      </c>
      <c r="G33" s="194">
        <f t="shared" ref="G33:N33" si="13">F33*1.05</f>
        <v>5478.2608695652179</v>
      </c>
      <c r="H33" s="194">
        <f t="shared" si="13"/>
        <v>5752.1739130434789</v>
      </c>
      <c r="I33" s="194">
        <f t="shared" si="13"/>
        <v>6039.7826086956529</v>
      </c>
      <c r="J33" s="194">
        <f t="shared" si="13"/>
        <v>6341.7717391304359</v>
      </c>
      <c r="K33" s="194">
        <f t="shared" si="13"/>
        <v>6658.8603260869577</v>
      </c>
      <c r="L33" s="194">
        <f t="shared" si="13"/>
        <v>6991.8033423913057</v>
      </c>
      <c r="M33" s="194">
        <f t="shared" si="13"/>
        <v>7341.3935095108709</v>
      </c>
      <c r="N33" s="194">
        <f t="shared" si="13"/>
        <v>7708.4631849864145</v>
      </c>
    </row>
    <row r="34" spans="2:14" x14ac:dyDescent="0.15">
      <c r="B34" s="384" t="s">
        <v>300</v>
      </c>
      <c r="F34" s="194">
        <f>40000*12/'Base figures'!L$117</f>
        <v>4173.913043478261</v>
      </c>
      <c r="G34" s="194">
        <f t="shared" ref="G34:N36" si="14">F34*1.05</f>
        <v>4382.608695652174</v>
      </c>
      <c r="H34" s="194">
        <f t="shared" si="14"/>
        <v>4601.739130434783</v>
      </c>
      <c r="I34" s="194">
        <f t="shared" si="14"/>
        <v>4831.826086956522</v>
      </c>
      <c r="J34" s="194">
        <f t="shared" si="14"/>
        <v>5073.4173913043487</v>
      </c>
      <c r="K34" s="194">
        <f t="shared" si="14"/>
        <v>5327.0882608695665</v>
      </c>
      <c r="L34" s="194">
        <f t="shared" si="14"/>
        <v>5593.4426739130449</v>
      </c>
      <c r="M34" s="194">
        <f t="shared" si="14"/>
        <v>5873.1148076086974</v>
      </c>
      <c r="N34" s="194">
        <f t="shared" si="14"/>
        <v>6166.7705479891329</v>
      </c>
    </row>
    <row r="35" spans="2:14" x14ac:dyDescent="0.15">
      <c r="B35" s="38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2:14" x14ac:dyDescent="0.15">
      <c r="B36" s="384" t="s">
        <v>193</v>
      </c>
      <c r="E36" s="194">
        <f>15000*6/'Base figures'!K$117</f>
        <v>782.60869565217388</v>
      </c>
      <c r="F36" s="194">
        <f>12000*12/'Base figures'!L$117</f>
        <v>1252.1739130434783</v>
      </c>
      <c r="G36" s="194">
        <f t="shared" si="14"/>
        <v>1314.7826086956522</v>
      </c>
      <c r="H36" s="194">
        <f t="shared" si="14"/>
        <v>1380.521739130435</v>
      </c>
      <c r="I36" s="194">
        <f t="shared" si="14"/>
        <v>1449.5478260869568</v>
      </c>
      <c r="J36" s="194">
        <f t="shared" si="14"/>
        <v>1522.0252173913047</v>
      </c>
      <c r="K36" s="194">
        <f t="shared" si="14"/>
        <v>1598.12647826087</v>
      </c>
      <c r="L36" s="194">
        <f t="shared" si="14"/>
        <v>1678.0328021739135</v>
      </c>
      <c r="M36" s="194">
        <f t="shared" si="14"/>
        <v>1761.9344422826093</v>
      </c>
      <c r="N36" s="194">
        <f t="shared" si="14"/>
        <v>1850.0311643967398</v>
      </c>
    </row>
    <row r="37" spans="2:14" x14ac:dyDescent="0.15">
      <c r="B37" s="384" t="s">
        <v>194</v>
      </c>
      <c r="E37" s="194">
        <f>4*15000*12/'Base figures'!K$117</f>
        <v>6260.869565217391</v>
      </c>
      <c r="F37" s="194">
        <f>8*15000*12/'Base figures'!L$117</f>
        <v>12521.739130434782</v>
      </c>
      <c r="G37" s="194">
        <f>12*15000*12/'Base figures'!M$117</f>
        <v>18782.608695652172</v>
      </c>
      <c r="H37" s="194">
        <f>12*15000*12/'Base figures'!N$117</f>
        <v>18782.608695652172</v>
      </c>
      <c r="I37" s="194">
        <f>12*15000*12/'Base figures'!O$117</f>
        <v>18782.608695652172</v>
      </c>
      <c r="J37" s="194">
        <f>12*15000*12/'Base figures'!P$117</f>
        <v>18782.608695652172</v>
      </c>
      <c r="K37" s="194">
        <f>12*15000*12/'Base figures'!Q$117</f>
        <v>18782.608695652172</v>
      </c>
      <c r="L37" s="194">
        <f>12*15000*12/'Base figures'!R$117</f>
        <v>18782.608695652172</v>
      </c>
      <c r="M37" s="194">
        <f>12*15000*12/'Base figures'!S$117</f>
        <v>18782.608695652172</v>
      </c>
      <c r="N37" s="194">
        <f>12*15000*12/'Base figures'!T$117</f>
        <v>18782.608695652172</v>
      </c>
    </row>
    <row r="39" spans="2:14" ht="14" thickBot="1" x14ac:dyDescent="0.2">
      <c r="C39" s="73">
        <f>SUM(C23:C38)</f>
        <v>7539.130434782609</v>
      </c>
      <c r="D39" s="75"/>
      <c r="E39" s="73">
        <f t="shared" ref="E39:L39" si="15">SUM(E23:E38)</f>
        <v>30521.73913043478</v>
      </c>
      <c r="F39" s="73">
        <f t="shared" si="15"/>
        <v>75860.869565217392</v>
      </c>
      <c r="G39" s="73">
        <f t="shared" si="15"/>
        <v>91940.869565217392</v>
      </c>
      <c r="H39" s="73">
        <f t="shared" si="15"/>
        <v>94555.304347826095</v>
      </c>
      <c r="I39" s="73">
        <f t="shared" si="15"/>
        <v>97300.460869565228</v>
      </c>
      <c r="J39" s="73">
        <f t="shared" si="15"/>
        <v>100965.48391304347</v>
      </c>
      <c r="K39" s="73">
        <f t="shared" si="15"/>
        <v>104813.75810869566</v>
      </c>
      <c r="L39" s="73">
        <f t="shared" si="15"/>
        <v>108854.44601413044</v>
      </c>
      <c r="M39" s="73">
        <f t="shared" ref="M39:N39" si="16">SUM(M23:M38)</f>
        <v>113097.16831483698</v>
      </c>
      <c r="N39" s="73">
        <f t="shared" si="16"/>
        <v>117552.02673057883</v>
      </c>
    </row>
    <row r="40" spans="2:14" ht="14" thickTop="1" x14ac:dyDescent="0.15"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14" thickBot="1" x14ac:dyDescent="0.2">
      <c r="C41" s="74">
        <f>C20+C39</f>
        <v>43689.130434782608</v>
      </c>
      <c r="D41" s="228"/>
      <c r="E41" s="74">
        <f t="shared" ref="E41:L41" si="17">E20+E39</f>
        <v>89721.739130434784</v>
      </c>
      <c r="F41" s="74">
        <f t="shared" si="17"/>
        <v>150270.86956521741</v>
      </c>
      <c r="G41" s="74">
        <f t="shared" si="17"/>
        <v>157571.36956521741</v>
      </c>
      <c r="H41" s="74">
        <f t="shared" si="17"/>
        <v>151417.3293478261</v>
      </c>
      <c r="I41" s="74">
        <f t="shared" si="17"/>
        <v>154405.58711956523</v>
      </c>
      <c r="J41" s="74">
        <f t="shared" si="17"/>
        <v>158325.86647554347</v>
      </c>
      <c r="K41" s="74">
        <f t="shared" si="17"/>
        <v>162442.15979932068</v>
      </c>
      <c r="L41" s="74">
        <f t="shared" si="17"/>
        <v>166764.26778928671</v>
      </c>
      <c r="M41" s="74">
        <f t="shared" ref="M41:N41" si="18">M20+M39</f>
        <v>171302.48117875104</v>
      </c>
      <c r="N41" s="74">
        <f t="shared" si="18"/>
        <v>176067.60523768861</v>
      </c>
    </row>
    <row r="42" spans="2:14" ht="14" thickTop="1" x14ac:dyDescent="0.15"/>
    <row r="43" spans="2:14" x14ac:dyDescent="0.15">
      <c r="E43" s="72"/>
      <c r="F43" s="72"/>
      <c r="G43" s="72"/>
      <c r="H43" s="72"/>
      <c r="I43" s="72"/>
      <c r="J43" s="72"/>
      <c r="K43" s="72"/>
      <c r="L43" s="72"/>
      <c r="M43" s="72"/>
      <c r="N43" s="72"/>
    </row>
  </sheetData>
  <mergeCells count="1">
    <mergeCell ref="P9:R9"/>
  </mergeCells>
  <phoneticPr fontId="5" type="noConversion"/>
  <pageMargins left="0.46" right="0.75" top="0.62" bottom="1" header="0.5" footer="0.5"/>
  <pageSetup paperSize="9" scale="58" orientation="landscape" copies="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indexed="34"/>
    <pageSetUpPr fitToPage="1"/>
  </sheetPr>
  <dimension ref="B8:S50"/>
  <sheetViews>
    <sheetView showGridLines="0" topLeftCell="A11" zoomScaleNormal="100" workbookViewId="0">
      <selection activeCell="G34" sqref="G34"/>
    </sheetView>
  </sheetViews>
  <sheetFormatPr baseColWidth="10" defaultColWidth="8.83203125" defaultRowHeight="13" x14ac:dyDescent="0.15"/>
  <cols>
    <col min="1" max="1" width="4.83203125" customWidth="1"/>
    <col min="2" max="2" width="33.33203125" customWidth="1"/>
    <col min="3" max="3" width="3.1640625" customWidth="1"/>
    <col min="4" max="4" width="12.33203125" bestFit="1" customWidth="1"/>
    <col min="5" max="5" width="9.33203125" style="22" customWidth="1"/>
    <col min="6" max="15" width="12.33203125" bestFit="1" customWidth="1"/>
  </cols>
  <sheetData>
    <row r="8" spans="2:19" x14ac:dyDescent="0.15"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2:19" x14ac:dyDescent="0.15">
      <c r="Q9" s="111"/>
      <c r="R9" s="197"/>
      <c r="S9" s="197"/>
    </row>
    <row r="10" spans="2:19" ht="19" thickBot="1" x14ac:dyDescent="0.25">
      <c r="B10" s="12" t="s">
        <v>31</v>
      </c>
      <c r="D10" s="57">
        <f>'Base figures'!I10</f>
        <v>2018</v>
      </c>
      <c r="E10" s="30"/>
      <c r="F10" s="57">
        <f>'Base figures'!K10</f>
        <v>2019</v>
      </c>
      <c r="G10" s="57">
        <f>'Base figures'!L10</f>
        <v>2020</v>
      </c>
      <c r="H10" s="57">
        <f>'Base figures'!M10</f>
        <v>2021</v>
      </c>
      <c r="I10" s="57">
        <f>'Base figures'!N10</f>
        <v>2022</v>
      </c>
      <c r="J10" s="57">
        <f>'Base figures'!O10</f>
        <v>2023</v>
      </c>
      <c r="K10" s="57">
        <f>'Base figures'!P10</f>
        <v>2024</v>
      </c>
      <c r="L10" s="57">
        <f>'Base figures'!Q10</f>
        <v>2025</v>
      </c>
      <c r="M10" s="57">
        <f>'Base figures'!R10</f>
        <v>2026</v>
      </c>
      <c r="N10" s="57">
        <v>2027</v>
      </c>
      <c r="O10" s="57">
        <v>2028</v>
      </c>
      <c r="Q10" s="111"/>
      <c r="R10" s="197"/>
      <c r="S10" s="197"/>
    </row>
    <row r="11" spans="2:19" ht="14" thickTop="1" x14ac:dyDescent="0.15">
      <c r="D11" s="21"/>
      <c r="E11" s="216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111"/>
      <c r="R11" s="197"/>
      <c r="S11" s="197"/>
    </row>
    <row r="12" spans="2:19" ht="16" x14ac:dyDescent="0.2">
      <c r="B12" s="102" t="s">
        <v>19</v>
      </c>
      <c r="D12" s="21"/>
      <c r="E12" s="216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111"/>
      <c r="R12" s="197"/>
      <c r="S12" s="197"/>
    </row>
    <row r="13" spans="2:19" x14ac:dyDescent="0.15">
      <c r="B13" s="141" t="s">
        <v>195</v>
      </c>
      <c r="D13" s="104">
        <f>428.98+857.97+115.55</f>
        <v>1402.5</v>
      </c>
      <c r="E13" s="217"/>
      <c r="F13" s="215">
        <f>30000*12/'Base figures'!K$117</f>
        <v>3130.4347826086955</v>
      </c>
      <c r="G13" s="215">
        <f>F13*1.2</f>
        <v>3756.5217391304345</v>
      </c>
      <c r="H13" s="215">
        <f>G13*1.2</f>
        <v>4507.8260869565211</v>
      </c>
      <c r="I13" s="215">
        <f>H13*1.02</f>
        <v>4597.9826086956518</v>
      </c>
      <c r="J13" s="215">
        <f>I13*1.02</f>
        <v>4689.942260869565</v>
      </c>
      <c r="K13" s="215">
        <f t="shared" ref="K13:O13" si="0">J13*1.02</f>
        <v>4783.7411060869563</v>
      </c>
      <c r="L13" s="215">
        <f t="shared" si="0"/>
        <v>4879.4159282086957</v>
      </c>
      <c r="M13" s="215">
        <f t="shared" si="0"/>
        <v>4977.0042467728699</v>
      </c>
      <c r="N13" s="215">
        <f t="shared" si="0"/>
        <v>5076.5443317083273</v>
      </c>
      <c r="O13" s="215">
        <f t="shared" si="0"/>
        <v>5178.0752183424938</v>
      </c>
      <c r="Q13" s="111"/>
      <c r="R13" s="197"/>
      <c r="S13" s="197"/>
    </row>
    <row r="14" spans="2:19" x14ac:dyDescent="0.15">
      <c r="B14" s="40" t="s">
        <v>41</v>
      </c>
      <c r="D14" s="104"/>
      <c r="E14" s="217"/>
      <c r="F14" s="215">
        <v>1500</v>
      </c>
      <c r="G14" s="215">
        <f>F14*1.1</f>
        <v>1650.0000000000002</v>
      </c>
      <c r="H14" s="215">
        <f t="shared" ref="H14:I14" si="1">G14*1.1</f>
        <v>1815.0000000000005</v>
      </c>
      <c r="I14" s="215">
        <f t="shared" si="1"/>
        <v>1996.5000000000007</v>
      </c>
      <c r="J14" s="215">
        <f t="shared" ref="J14:O17" si="2">I14*1.02</f>
        <v>2036.4300000000007</v>
      </c>
      <c r="K14" s="215">
        <f t="shared" si="2"/>
        <v>2077.1586000000007</v>
      </c>
      <c r="L14" s="215">
        <f t="shared" si="2"/>
        <v>2118.7017720000008</v>
      </c>
      <c r="M14" s="215">
        <f t="shared" si="2"/>
        <v>2161.075807440001</v>
      </c>
      <c r="N14" s="215">
        <f t="shared" si="2"/>
        <v>2204.2973235888012</v>
      </c>
      <c r="O14" s="215">
        <f t="shared" si="2"/>
        <v>2248.3832700605772</v>
      </c>
    </row>
    <row r="15" spans="2:19" x14ac:dyDescent="0.15">
      <c r="B15" s="141" t="s">
        <v>196</v>
      </c>
      <c r="D15" s="104"/>
      <c r="E15" s="217"/>
      <c r="F15" s="215">
        <v>1000</v>
      </c>
      <c r="G15" s="215">
        <f>F15*1.1</f>
        <v>1100</v>
      </c>
      <c r="H15" s="215">
        <f t="shared" ref="H15:I15" si="3">G15*1.1</f>
        <v>1210</v>
      </c>
      <c r="I15" s="215">
        <f t="shared" si="3"/>
        <v>1331</v>
      </c>
      <c r="J15" s="215">
        <f t="shared" si="2"/>
        <v>1357.6200000000001</v>
      </c>
      <c r="K15" s="215">
        <f t="shared" si="2"/>
        <v>1384.7724000000001</v>
      </c>
      <c r="L15" s="215">
        <f t="shared" si="2"/>
        <v>1412.467848</v>
      </c>
      <c r="M15" s="215">
        <f t="shared" si="2"/>
        <v>1440.7172049600001</v>
      </c>
      <c r="N15" s="215">
        <f t="shared" si="2"/>
        <v>1469.5315490592002</v>
      </c>
      <c r="O15" s="215">
        <f t="shared" si="2"/>
        <v>1498.9221800403843</v>
      </c>
    </row>
    <row r="16" spans="2:19" x14ac:dyDescent="0.15">
      <c r="B16" s="40" t="s">
        <v>36</v>
      </c>
      <c r="D16" s="104"/>
      <c r="E16" s="217"/>
      <c r="F16" s="215">
        <v>600</v>
      </c>
      <c r="G16" s="215">
        <f>F16*1.1</f>
        <v>660</v>
      </c>
      <c r="H16" s="215">
        <f t="shared" ref="H16:I16" si="4">G16*1.1</f>
        <v>726.00000000000011</v>
      </c>
      <c r="I16" s="215">
        <f t="shared" si="4"/>
        <v>798.60000000000014</v>
      </c>
      <c r="J16" s="215">
        <f t="shared" si="2"/>
        <v>814.57200000000012</v>
      </c>
      <c r="K16" s="215">
        <f t="shared" si="2"/>
        <v>830.86344000000008</v>
      </c>
      <c r="L16" s="215">
        <f t="shared" si="2"/>
        <v>847.48070880000012</v>
      </c>
      <c r="M16" s="215">
        <f t="shared" si="2"/>
        <v>864.43032297600018</v>
      </c>
      <c r="N16" s="215">
        <f t="shared" si="2"/>
        <v>881.71892943552018</v>
      </c>
      <c r="O16" s="215">
        <f t="shared" si="2"/>
        <v>899.35330802423061</v>
      </c>
    </row>
    <row r="17" spans="2:15" x14ac:dyDescent="0.15">
      <c r="B17" s="40" t="s">
        <v>28</v>
      </c>
      <c r="D17" s="104"/>
      <c r="E17" s="217"/>
      <c r="F17" s="215">
        <v>2000</v>
      </c>
      <c r="G17" s="215">
        <f>F17*1.1</f>
        <v>2200</v>
      </c>
      <c r="H17" s="215">
        <f t="shared" ref="H17:I17" si="5">G17*1.1</f>
        <v>2420</v>
      </c>
      <c r="I17" s="215">
        <f t="shared" si="5"/>
        <v>2662</v>
      </c>
      <c r="J17" s="215">
        <f t="shared" si="2"/>
        <v>2715.2400000000002</v>
      </c>
      <c r="K17" s="215">
        <f t="shared" si="2"/>
        <v>2769.5448000000001</v>
      </c>
      <c r="L17" s="215">
        <f t="shared" si="2"/>
        <v>2824.935696</v>
      </c>
      <c r="M17" s="215">
        <f t="shared" si="2"/>
        <v>2881.4344099200002</v>
      </c>
      <c r="N17" s="215">
        <f t="shared" si="2"/>
        <v>2939.0630981184004</v>
      </c>
      <c r="O17" s="215">
        <f t="shared" si="2"/>
        <v>2997.8443600807686</v>
      </c>
    </row>
    <row r="18" spans="2:15" x14ac:dyDescent="0.15">
      <c r="B18" s="40"/>
      <c r="C18" s="40"/>
      <c r="D18" s="40"/>
      <c r="E18" s="85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14" thickBot="1" x14ac:dyDescent="0.2">
      <c r="B19" s="40"/>
      <c r="D19" s="103">
        <f>SUM(D13:D18)</f>
        <v>1402.5</v>
      </c>
      <c r="E19" s="218"/>
      <c r="F19" s="103">
        <f t="shared" ref="F19:J19" si="6">SUM(F13:F18)</f>
        <v>8230.434782608696</v>
      </c>
      <c r="G19" s="103">
        <f t="shared" si="6"/>
        <v>9366.5217391304359</v>
      </c>
      <c r="H19" s="103">
        <f t="shared" si="6"/>
        <v>10678.826086956522</v>
      </c>
      <c r="I19" s="103">
        <f t="shared" si="6"/>
        <v>11386.082608695653</v>
      </c>
      <c r="J19" s="103">
        <f t="shared" si="6"/>
        <v>11613.804260869567</v>
      </c>
      <c r="K19" s="103">
        <f t="shared" ref="K19:M19" si="7">SUM(K13:K18)</f>
        <v>11846.080346086957</v>
      </c>
      <c r="L19" s="103">
        <f t="shared" si="7"/>
        <v>12083.001953008697</v>
      </c>
      <c r="M19" s="103">
        <f t="shared" si="7"/>
        <v>12324.661992068872</v>
      </c>
      <c r="N19" s="103">
        <f t="shared" ref="N19:O19" si="8">SUM(N13:N18)</f>
        <v>12571.155231910248</v>
      </c>
      <c r="O19" s="103">
        <f t="shared" si="8"/>
        <v>12822.578336548453</v>
      </c>
    </row>
    <row r="20" spans="2:15" ht="14" thickTop="1" x14ac:dyDescent="0.15"/>
    <row r="21" spans="2:15" ht="16" x14ac:dyDescent="0.2">
      <c r="B21" s="102" t="s">
        <v>197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2:15" x14ac:dyDescent="0.15">
      <c r="B22" s="141" t="s">
        <v>297</v>
      </c>
      <c r="D22" s="104"/>
      <c r="E22" s="217"/>
      <c r="F22" s="215">
        <v>1500</v>
      </c>
      <c r="G22" s="215">
        <v>1500</v>
      </c>
      <c r="H22" s="215">
        <v>1750</v>
      </c>
      <c r="I22" s="215">
        <v>2000</v>
      </c>
      <c r="J22" s="215">
        <f t="shared" ref="J22:O24" si="9">I22</f>
        <v>2000</v>
      </c>
      <c r="K22" s="215">
        <f t="shared" si="9"/>
        <v>2000</v>
      </c>
      <c r="L22" s="215">
        <f t="shared" si="9"/>
        <v>2000</v>
      </c>
      <c r="M22" s="215">
        <f t="shared" si="9"/>
        <v>2000</v>
      </c>
      <c r="N22" s="215">
        <f t="shared" si="9"/>
        <v>2000</v>
      </c>
      <c r="O22" s="215">
        <f t="shared" si="9"/>
        <v>2000</v>
      </c>
    </row>
    <row r="23" spans="2:15" x14ac:dyDescent="0.15">
      <c r="B23" s="141" t="s">
        <v>141</v>
      </c>
      <c r="D23" s="104">
        <v>2500</v>
      </c>
      <c r="E23" s="217"/>
      <c r="F23" s="215">
        <v>2000</v>
      </c>
      <c r="G23" s="215">
        <f>F23*1.2</f>
        <v>2400</v>
      </c>
      <c r="H23" s="215">
        <f t="shared" ref="H23:I23" si="10">G23*1.2</f>
        <v>2880</v>
      </c>
      <c r="I23" s="215">
        <f t="shared" si="10"/>
        <v>3456</v>
      </c>
      <c r="J23" s="215">
        <f t="shared" si="9"/>
        <v>3456</v>
      </c>
      <c r="K23" s="215">
        <f t="shared" si="9"/>
        <v>3456</v>
      </c>
      <c r="L23" s="215">
        <f t="shared" si="9"/>
        <v>3456</v>
      </c>
      <c r="M23" s="215">
        <f t="shared" si="9"/>
        <v>3456</v>
      </c>
      <c r="N23" s="215">
        <f t="shared" si="9"/>
        <v>3456</v>
      </c>
      <c r="O23" s="215">
        <f t="shared" si="9"/>
        <v>3456</v>
      </c>
    </row>
    <row r="24" spans="2:15" x14ac:dyDescent="0.15">
      <c r="B24" s="40" t="s">
        <v>42</v>
      </c>
      <c r="D24" s="104"/>
      <c r="E24" s="217"/>
      <c r="F24" s="215">
        <v>1500</v>
      </c>
      <c r="G24" s="215">
        <v>1500</v>
      </c>
      <c r="H24" s="215">
        <v>2000</v>
      </c>
      <c r="I24" s="215">
        <v>2000</v>
      </c>
      <c r="J24" s="215">
        <f t="shared" si="9"/>
        <v>2000</v>
      </c>
      <c r="K24" s="215">
        <f t="shared" si="9"/>
        <v>2000</v>
      </c>
      <c r="L24" s="215">
        <f t="shared" si="9"/>
        <v>2000</v>
      </c>
      <c r="M24" s="215">
        <f t="shared" si="9"/>
        <v>2000</v>
      </c>
      <c r="N24" s="215">
        <f t="shared" si="9"/>
        <v>2000</v>
      </c>
      <c r="O24" s="215">
        <f t="shared" si="9"/>
        <v>2000</v>
      </c>
    </row>
    <row r="25" spans="2:15" x14ac:dyDescent="0.15">
      <c r="B25" s="40"/>
    </row>
    <row r="26" spans="2:15" ht="14" thickBot="1" x14ac:dyDescent="0.2">
      <c r="B26" s="40"/>
      <c r="C26" s="40"/>
      <c r="D26" s="103">
        <f>SUM(D22:D25)</f>
        <v>2500</v>
      </c>
      <c r="E26" s="218"/>
      <c r="F26" s="103">
        <f t="shared" ref="F26:J26" si="11">SUM(F23:F25)</f>
        <v>3500</v>
      </c>
      <c r="G26" s="103">
        <f t="shared" si="11"/>
        <v>3900</v>
      </c>
      <c r="H26" s="103">
        <f t="shared" si="11"/>
        <v>4880</v>
      </c>
      <c r="I26" s="103">
        <f t="shared" si="11"/>
        <v>5456</v>
      </c>
      <c r="J26" s="103">
        <f t="shared" si="11"/>
        <v>5456</v>
      </c>
      <c r="K26" s="103">
        <f t="shared" ref="K26:M26" si="12">SUM(K23:K25)</f>
        <v>5456</v>
      </c>
      <c r="L26" s="103">
        <f t="shared" si="12"/>
        <v>5456</v>
      </c>
      <c r="M26" s="103">
        <f t="shared" si="12"/>
        <v>5456</v>
      </c>
      <c r="N26" s="103">
        <f t="shared" ref="N26:O26" si="13">SUM(N23:N25)</f>
        <v>5456</v>
      </c>
      <c r="O26" s="103">
        <f t="shared" si="13"/>
        <v>5456</v>
      </c>
    </row>
    <row r="27" spans="2:15" ht="14" thickTop="1" x14ac:dyDescent="0.15">
      <c r="B27" s="40"/>
    </row>
    <row r="28" spans="2:15" ht="16" x14ac:dyDescent="0.2">
      <c r="B28" s="102" t="s">
        <v>198</v>
      </c>
    </row>
    <row r="29" spans="2:15" x14ac:dyDescent="0.15">
      <c r="B29" s="141" t="s">
        <v>298</v>
      </c>
      <c r="D29" s="104"/>
      <c r="E29" s="217"/>
      <c r="F29" s="215">
        <v>5000</v>
      </c>
      <c r="G29" s="215">
        <f>F29*1.2</f>
        <v>6000</v>
      </c>
      <c r="H29" s="215">
        <f t="shared" ref="H29:O29" si="14">G29*1.2</f>
        <v>7200</v>
      </c>
      <c r="I29" s="215">
        <f t="shared" si="14"/>
        <v>8640</v>
      </c>
      <c r="J29" s="215">
        <f t="shared" si="14"/>
        <v>10368</v>
      </c>
      <c r="K29" s="215">
        <f t="shared" si="14"/>
        <v>12441.6</v>
      </c>
      <c r="L29" s="215">
        <f t="shared" si="14"/>
        <v>14929.92</v>
      </c>
      <c r="M29" s="215">
        <f t="shared" si="14"/>
        <v>17915.903999999999</v>
      </c>
      <c r="N29" s="215">
        <f t="shared" si="14"/>
        <v>21499.084799999997</v>
      </c>
      <c r="O29" s="215">
        <f t="shared" si="14"/>
        <v>25798.901759999997</v>
      </c>
    </row>
    <row r="30" spans="2:15" x14ac:dyDescent="0.15">
      <c r="B30" s="141" t="s">
        <v>190</v>
      </c>
      <c r="D30" s="104">
        <f>500+550</f>
        <v>1050</v>
      </c>
      <c r="E30" s="217"/>
      <c r="F30" s="215">
        <v>2000</v>
      </c>
      <c r="G30" s="215">
        <f>F30*1.2</f>
        <v>2400</v>
      </c>
      <c r="H30" s="215">
        <f t="shared" ref="H30:O30" si="15">G30*1.2</f>
        <v>2880</v>
      </c>
      <c r="I30" s="215">
        <f t="shared" si="15"/>
        <v>3456</v>
      </c>
      <c r="J30" s="215">
        <f t="shared" si="15"/>
        <v>4147.2</v>
      </c>
      <c r="K30" s="215">
        <f t="shared" si="15"/>
        <v>4976.6399999999994</v>
      </c>
      <c r="L30" s="215">
        <f t="shared" si="15"/>
        <v>5971.9679999999989</v>
      </c>
      <c r="M30" s="215">
        <f t="shared" si="15"/>
        <v>7166.3615999999984</v>
      </c>
      <c r="N30" s="215">
        <f t="shared" si="15"/>
        <v>8599.6339199999984</v>
      </c>
      <c r="O30" s="215">
        <f t="shared" si="15"/>
        <v>10319.560703999998</v>
      </c>
    </row>
    <row r="31" spans="2:15" x14ac:dyDescent="0.15">
      <c r="B31" s="141" t="s">
        <v>264</v>
      </c>
      <c r="D31" s="104"/>
      <c r="E31" s="217"/>
      <c r="F31" s="215">
        <v>2000</v>
      </c>
      <c r="G31" s="215">
        <f>F31*1.2</f>
        <v>2400</v>
      </c>
      <c r="H31" s="215">
        <f t="shared" ref="H31:O31" si="16">G31*1.2</f>
        <v>2880</v>
      </c>
      <c r="I31" s="215">
        <f t="shared" si="16"/>
        <v>3456</v>
      </c>
      <c r="J31" s="215">
        <f t="shared" si="16"/>
        <v>4147.2</v>
      </c>
      <c r="K31" s="215">
        <f t="shared" si="16"/>
        <v>4976.6399999999994</v>
      </c>
      <c r="L31" s="215">
        <f t="shared" si="16"/>
        <v>5971.9679999999989</v>
      </c>
      <c r="M31" s="215">
        <f t="shared" si="16"/>
        <v>7166.3615999999984</v>
      </c>
      <c r="N31" s="215">
        <f t="shared" si="16"/>
        <v>8599.6339199999984</v>
      </c>
      <c r="O31" s="215">
        <f t="shared" si="16"/>
        <v>10319.560703999998</v>
      </c>
    </row>
    <row r="32" spans="2:15" x14ac:dyDescent="0.15">
      <c r="B32" s="141"/>
      <c r="D32" s="104"/>
      <c r="E32" s="217"/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2:16" x14ac:dyDescent="0.15">
      <c r="B33" s="141" t="s">
        <v>262</v>
      </c>
      <c r="D33" s="104">
        <f>2711.39+1206.29+423.87+795.08</f>
        <v>5136.63</v>
      </c>
      <c r="E33" s="217"/>
      <c r="F33" s="215">
        <v>10000</v>
      </c>
      <c r="G33" s="215">
        <v>10000</v>
      </c>
      <c r="H33" s="215">
        <v>10000</v>
      </c>
      <c r="I33" s="215">
        <v>10000</v>
      </c>
      <c r="J33" s="215">
        <f t="shared" ref="J33:O37" si="17">I33</f>
        <v>10000</v>
      </c>
      <c r="K33" s="215">
        <f t="shared" si="17"/>
        <v>10000</v>
      </c>
      <c r="L33" s="215">
        <f t="shared" si="17"/>
        <v>10000</v>
      </c>
      <c r="M33" s="215">
        <f t="shared" si="17"/>
        <v>10000</v>
      </c>
      <c r="N33" s="215">
        <f t="shared" si="17"/>
        <v>10000</v>
      </c>
      <c r="O33" s="215">
        <f t="shared" si="17"/>
        <v>10000</v>
      </c>
      <c r="P33" s="183"/>
    </row>
    <row r="34" spans="2:16" x14ac:dyDescent="0.15">
      <c r="B34" s="141" t="s">
        <v>263</v>
      </c>
      <c r="D34" s="104"/>
      <c r="E34" s="217"/>
      <c r="F34" s="215">
        <v>5000</v>
      </c>
      <c r="G34" s="215">
        <v>7500</v>
      </c>
      <c r="H34" s="215">
        <v>10000</v>
      </c>
      <c r="I34" s="215">
        <v>10000</v>
      </c>
      <c r="J34" s="215">
        <v>10000</v>
      </c>
      <c r="K34" s="215">
        <v>10000</v>
      </c>
      <c r="L34" s="215">
        <v>10000</v>
      </c>
      <c r="M34" s="215">
        <v>10000</v>
      </c>
      <c r="N34" s="215">
        <v>10000</v>
      </c>
      <c r="O34" s="215">
        <v>10000</v>
      </c>
    </row>
    <row r="35" spans="2:16" x14ac:dyDescent="0.15">
      <c r="B35" s="141" t="s">
        <v>261</v>
      </c>
      <c r="D35" s="104">
        <f>201.6+69.77+17.55+30.25+17.55+30.25</f>
        <v>366.97</v>
      </c>
      <c r="E35" s="217"/>
      <c r="F35" s="215">
        <v>1000</v>
      </c>
      <c r="G35" s="215">
        <f t="shared" ref="G35:I36" si="18">F35*1.15</f>
        <v>1150</v>
      </c>
      <c r="H35" s="215">
        <f t="shared" si="18"/>
        <v>1322.5</v>
      </c>
      <c r="I35" s="215">
        <f t="shared" si="18"/>
        <v>1520.8749999999998</v>
      </c>
      <c r="J35" s="215">
        <f t="shared" si="17"/>
        <v>1520.8749999999998</v>
      </c>
      <c r="K35" s="215">
        <f t="shared" si="17"/>
        <v>1520.8749999999998</v>
      </c>
      <c r="L35" s="215">
        <f t="shared" si="17"/>
        <v>1520.8749999999998</v>
      </c>
      <c r="M35" s="215">
        <f t="shared" si="17"/>
        <v>1520.8749999999998</v>
      </c>
      <c r="N35" s="215">
        <f t="shared" si="17"/>
        <v>1520.8749999999998</v>
      </c>
      <c r="O35" s="215">
        <f t="shared" si="17"/>
        <v>1520.8749999999998</v>
      </c>
    </row>
    <row r="36" spans="2:16" x14ac:dyDescent="0.15">
      <c r="B36" s="141" t="s">
        <v>299</v>
      </c>
      <c r="D36" s="104">
        <v>1500</v>
      </c>
      <c r="E36" s="217"/>
      <c r="F36" s="215">
        <f>5000</f>
        <v>5000</v>
      </c>
      <c r="G36" s="215">
        <f t="shared" si="18"/>
        <v>5750</v>
      </c>
      <c r="H36" s="215">
        <f t="shared" si="18"/>
        <v>6612.4999999999991</v>
      </c>
      <c r="I36" s="215">
        <f t="shared" si="18"/>
        <v>7604.3749999999982</v>
      </c>
      <c r="J36" s="215">
        <f t="shared" si="17"/>
        <v>7604.3749999999982</v>
      </c>
      <c r="K36" s="215">
        <f t="shared" si="17"/>
        <v>7604.3749999999982</v>
      </c>
      <c r="L36" s="215">
        <f t="shared" si="17"/>
        <v>7604.3749999999982</v>
      </c>
      <c r="M36" s="215">
        <f t="shared" si="17"/>
        <v>7604.3749999999982</v>
      </c>
      <c r="N36" s="215">
        <f t="shared" si="17"/>
        <v>7604.3749999999982</v>
      </c>
      <c r="O36" s="215">
        <f t="shared" si="17"/>
        <v>7604.3749999999982</v>
      </c>
    </row>
    <row r="37" spans="2:16" x14ac:dyDescent="0.15">
      <c r="B37" s="141" t="s">
        <v>146</v>
      </c>
      <c r="D37" s="104"/>
      <c r="E37" s="217"/>
      <c r="F37" s="215">
        <v>5000</v>
      </c>
      <c r="G37" s="215">
        <f t="shared" ref="G37" si="19">F37*1.15</f>
        <v>5750</v>
      </c>
      <c r="H37" s="215">
        <f t="shared" ref="H37" si="20">G37*1.15</f>
        <v>6612.4999999999991</v>
      </c>
      <c r="I37" s="215">
        <f t="shared" ref="I37" si="21">H37*1.15</f>
        <v>7604.3749999999982</v>
      </c>
      <c r="J37" s="215">
        <f t="shared" si="17"/>
        <v>7604.3749999999982</v>
      </c>
      <c r="K37" s="215">
        <f t="shared" si="17"/>
        <v>7604.3749999999982</v>
      </c>
      <c r="L37" s="215">
        <f t="shared" si="17"/>
        <v>7604.3749999999982</v>
      </c>
      <c r="M37" s="215">
        <f t="shared" si="17"/>
        <v>7604.3749999999982</v>
      </c>
      <c r="N37" s="215">
        <f t="shared" si="17"/>
        <v>7604.3749999999982</v>
      </c>
      <c r="O37" s="215">
        <f t="shared" si="17"/>
        <v>7604.3749999999982</v>
      </c>
    </row>
    <row r="38" spans="2:16" x14ac:dyDescent="0.15">
      <c r="D38" s="101"/>
      <c r="E38" s="217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6" ht="17" thickBot="1" x14ac:dyDescent="0.25">
      <c r="B39" s="102" t="s">
        <v>295</v>
      </c>
      <c r="D39" s="103">
        <f>SUM(D29:D38)</f>
        <v>8053.6</v>
      </c>
      <c r="E39" s="218"/>
      <c r="F39" s="103">
        <f>SUM(F29:F38)</f>
        <v>35000</v>
      </c>
      <c r="G39" s="103">
        <f>SUM(G29:G38)</f>
        <v>40950</v>
      </c>
      <c r="H39" s="103">
        <f>SUM(H29:H38)</f>
        <v>47507.5</v>
      </c>
      <c r="I39" s="103">
        <f>SUM(I29:I38)</f>
        <v>52281.625</v>
      </c>
      <c r="J39" s="103">
        <f t="shared" ref="J39:O39" si="22">I39</f>
        <v>52281.625</v>
      </c>
      <c r="K39" s="103">
        <f t="shared" si="22"/>
        <v>52281.625</v>
      </c>
      <c r="L39" s="103">
        <f t="shared" si="22"/>
        <v>52281.625</v>
      </c>
      <c r="M39" s="103">
        <f t="shared" si="22"/>
        <v>52281.625</v>
      </c>
      <c r="N39" s="103">
        <f t="shared" si="22"/>
        <v>52281.625</v>
      </c>
      <c r="O39" s="103">
        <f t="shared" si="22"/>
        <v>52281.625</v>
      </c>
    </row>
    <row r="40" spans="2:16" ht="14" thickTop="1" x14ac:dyDescent="0.15"/>
    <row r="42" spans="2:16" ht="17" thickBot="1" x14ac:dyDescent="0.25">
      <c r="B42" s="102" t="s">
        <v>29</v>
      </c>
      <c r="D42" s="103">
        <f>6864.16</f>
        <v>6864.16</v>
      </c>
      <c r="E42" s="218"/>
      <c r="F42" s="103">
        <v>10000</v>
      </c>
      <c r="G42" s="103">
        <f t="shared" ref="G42:I42" si="23">F42*1.1</f>
        <v>11000</v>
      </c>
      <c r="H42" s="103">
        <f t="shared" si="23"/>
        <v>12100.000000000002</v>
      </c>
      <c r="I42" s="103">
        <f t="shared" si="23"/>
        <v>13310.000000000004</v>
      </c>
      <c r="J42" s="103">
        <f t="shared" ref="J42:O42" si="24">I42</f>
        <v>13310.000000000004</v>
      </c>
      <c r="K42" s="103">
        <f t="shared" si="24"/>
        <v>13310.000000000004</v>
      </c>
      <c r="L42" s="103">
        <f t="shared" si="24"/>
        <v>13310.000000000004</v>
      </c>
      <c r="M42" s="103">
        <f t="shared" si="24"/>
        <v>13310.000000000004</v>
      </c>
      <c r="N42" s="103">
        <f t="shared" si="24"/>
        <v>13310.000000000004</v>
      </c>
      <c r="O42" s="103">
        <f t="shared" si="24"/>
        <v>13310.000000000004</v>
      </c>
    </row>
    <row r="43" spans="2:16" ht="14" thickTop="1" x14ac:dyDescent="0.15"/>
    <row r="45" spans="2:16" ht="17" thickBot="1" x14ac:dyDescent="0.25">
      <c r="B45" s="102" t="s">
        <v>150</v>
      </c>
      <c r="D45" s="103">
        <f>6453.82-D23-D36</f>
        <v>2453.8199999999997</v>
      </c>
      <c r="E45" s="218"/>
      <c r="F45" s="103">
        <f t="shared" ref="F45:M45" si="25">SUM(F19,F26,F39,F42)*0.15</f>
        <v>8509.565217391304</v>
      </c>
      <c r="G45" s="103">
        <f t="shared" si="25"/>
        <v>9782.4782608695641</v>
      </c>
      <c r="H45" s="103">
        <f t="shared" si="25"/>
        <v>11274.948913043479</v>
      </c>
      <c r="I45" s="103">
        <f t="shared" si="25"/>
        <v>12365.056141304347</v>
      </c>
      <c r="J45" s="103">
        <f t="shared" si="25"/>
        <v>12399.214389130435</v>
      </c>
      <c r="K45" s="103">
        <f t="shared" si="25"/>
        <v>12434.055801913044</v>
      </c>
      <c r="L45" s="103">
        <f t="shared" si="25"/>
        <v>12469.594042951305</v>
      </c>
      <c r="M45" s="103">
        <f t="shared" si="25"/>
        <v>12505.843048810329</v>
      </c>
      <c r="N45" s="103">
        <f t="shared" ref="N45:O45" si="26">SUM(N19,N26,N39,N42)*0.15</f>
        <v>12542.817034786536</v>
      </c>
      <c r="O45" s="103">
        <f t="shared" si="26"/>
        <v>12580.530500482268</v>
      </c>
    </row>
    <row r="46" spans="2:16" ht="14" thickTop="1" x14ac:dyDescent="0.15"/>
    <row r="48" spans="2:16" ht="17" thickBot="1" x14ac:dyDescent="0.25">
      <c r="B48" s="102" t="s">
        <v>32</v>
      </c>
      <c r="D48" s="105">
        <f>D45+D39+D26+D19+D42</f>
        <v>21274.080000000002</v>
      </c>
      <c r="E48" s="219"/>
      <c r="F48" s="105">
        <f t="shared" ref="F48:M48" si="27">F45+F39+F26+F19+F42</f>
        <v>65240</v>
      </c>
      <c r="G48" s="105">
        <f t="shared" si="27"/>
        <v>74999</v>
      </c>
      <c r="H48" s="105">
        <f t="shared" si="27"/>
        <v>86441.275000000009</v>
      </c>
      <c r="I48" s="105">
        <f t="shared" si="27"/>
        <v>94798.763749999998</v>
      </c>
      <c r="J48" s="105">
        <f t="shared" si="27"/>
        <v>95060.643650000013</v>
      </c>
      <c r="K48" s="105">
        <f t="shared" si="27"/>
        <v>95327.76114799999</v>
      </c>
      <c r="L48" s="105">
        <f t="shared" si="27"/>
        <v>95600.22099596</v>
      </c>
      <c r="M48" s="105">
        <f t="shared" si="27"/>
        <v>95878.130040879201</v>
      </c>
      <c r="N48" s="105">
        <f t="shared" ref="N48:O48" si="28">N45+N39+N26+N19+N42</f>
        <v>96161.597266696786</v>
      </c>
      <c r="O48" s="105">
        <f t="shared" si="28"/>
        <v>96450.733837030726</v>
      </c>
    </row>
    <row r="49" spans="7:15" ht="14" thickTop="1" x14ac:dyDescent="0.15"/>
    <row r="50" spans="7:15" x14ac:dyDescent="0.15">
      <c r="G50" s="114"/>
      <c r="H50" s="114"/>
      <c r="I50" s="114"/>
      <c r="J50" s="114"/>
      <c r="K50" s="114"/>
      <c r="L50" s="114"/>
      <c r="M50" s="114"/>
      <c r="N50" s="114"/>
      <c r="O50" s="114"/>
    </row>
  </sheetData>
  <phoneticPr fontId="5" type="noConversion"/>
  <pageMargins left="0.45" right="0.37" top="0.57999999999999996" bottom="1" header="0.5" footer="0.5"/>
  <pageSetup paperSize="9" scale="69" orientation="landscape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Cover</vt:lpstr>
      <vt:lpstr>Base figures</vt:lpstr>
      <vt:lpstr>P&amp;L Forecast</vt:lpstr>
      <vt:lpstr>Balance Sheet</vt:lpstr>
      <vt:lpstr>Assets</vt:lpstr>
      <vt:lpstr>Cash Flow</vt:lpstr>
      <vt:lpstr>Sales</vt:lpstr>
      <vt:lpstr>Labour </vt:lpstr>
      <vt:lpstr>Overhead costs</vt:lpstr>
      <vt:lpstr>EVD</vt:lpstr>
      <vt:lpstr>turn over2</vt:lpstr>
      <vt:lpstr>turn over1</vt:lpstr>
      <vt:lpstr>Investment</vt:lpstr>
      <vt:lpstr>Financial Costs</vt:lpstr>
      <vt:lpstr>Assets!Print_Area</vt:lpstr>
      <vt:lpstr>'Balance Sheet'!Print_Area</vt:lpstr>
      <vt:lpstr>'Base figures'!Print_Area</vt:lpstr>
      <vt:lpstr>'Cash Flow'!Print_Area</vt:lpstr>
      <vt:lpstr>'Financial Costs'!Print_Area</vt:lpstr>
      <vt:lpstr>'Labour '!Print_Area</vt:lpstr>
      <vt:lpstr>'Overhead costs'!Print_Area</vt:lpstr>
      <vt:lpstr>'P&amp;L Forecast'!Print_Area</vt:lpstr>
      <vt:lpstr>Sales!Print_Area</vt:lpstr>
    </vt:vector>
  </TitlesOfParts>
  <Company>Cyclus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 smits</dc:creator>
  <cp:lastModifiedBy>Thomas Poelmans</cp:lastModifiedBy>
  <cp:lastPrinted>2019-02-13T11:06:33Z</cp:lastPrinted>
  <dcterms:created xsi:type="dcterms:W3CDTF">2006-08-28T06:25:45Z</dcterms:created>
  <dcterms:modified xsi:type="dcterms:W3CDTF">2019-02-26T15:10:05Z</dcterms:modified>
</cp:coreProperties>
</file>