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PREDS\Dropbox (Spreds)\Clients\Pasha Parking\Round 2- 2019.10.01\Inbox\"/>
    </mc:Choice>
  </mc:AlternateContent>
  <xr:revisionPtr revIDLastSave="0" documentId="13_ncr:1_{219C11A2-57A4-4852-9FFA-0FF21B902984}" xr6:coauthVersionLast="45" xr6:coauthVersionMax="45" xr10:uidLastSave="{00000000-0000-0000-0000-000000000000}"/>
  <bookViews>
    <workbookView xWindow="-108" yWindow="-108" windowWidth="23256" windowHeight="12576" tabRatio="764" activeTab="4" xr2:uid="{00000000-000D-0000-FFFF-FFFF00000000}"/>
  </bookViews>
  <sheets>
    <sheet name="Hypotheses" sheetId="41" r:id="rId1"/>
    <sheet name="Payroll" sheetId="36" r:id="rId2"/>
    <sheet name="Monthly P&amp;L" sheetId="34" r:id="rId3"/>
    <sheet name="Annual P&amp;L " sheetId="35" r:id="rId4"/>
    <sheet name="Cashflow" sheetId="37" r:id="rId5"/>
  </sheets>
  <externalReferences>
    <externalReference r:id="rId6"/>
    <externalReference r:id="rId7"/>
  </externalReferences>
  <definedNames>
    <definedName name="Besoin_de_financement_avec_15__de_marge_de_sécurité">Cashflow!$B$44</definedName>
    <definedName name="Charges_variables" localSheetId="4">'[1]4. Charges opérationnelles'!#REF!</definedName>
    <definedName name="Charges_variables" localSheetId="0">'[2]4. Charges opérationnelles'!#REF!</definedName>
    <definedName name="Charges_variables">'[1]4. Charges opérationnelles'!#REF!</definedName>
    <definedName name="Charges_variables_stages_importants" localSheetId="4">'[1]4. Charges opérationnelles'!#REF!</definedName>
    <definedName name="Charges_variables_stages_importants" localSheetId="0">'[2]4. Charges opérationnelles'!#REF!</definedName>
    <definedName name="Charges_variables_stages_importants">'[1]4. Charges opérationnelles'!#REF!</definedName>
    <definedName name="Choix_de_la_méthode" localSheetId="4">#REF!</definedName>
    <definedName name="Choix_de_la_méthode" localSheetId="0">#REF!</definedName>
    <definedName name="Choix_de_la_méthode">#REF!</definedName>
    <definedName name="Commission_stage_important" localSheetId="4">'[1]2. Actions commerciales'!#REF!</definedName>
    <definedName name="Commission_stage_important" localSheetId="0">'[2]2. Actions commerciales'!#REF!</definedName>
    <definedName name="Commission_stage_important">'[1]2. Actions commerciales'!#REF!</definedName>
    <definedName name="Commission_stage_petit" localSheetId="4">'[1]2. Actions commerciales'!#REF!</definedName>
    <definedName name="Commission_stage_petit" localSheetId="0">'[2]2. Actions commerciales'!#REF!</definedName>
    <definedName name="Commission_stage_petit">'[1]2. Actions commerciales'!#REF!</definedName>
    <definedName name="d_organisateurs_prenant_l_API" localSheetId="4">'[1]2. Actions commerciales'!#REF!</definedName>
    <definedName name="d_organisateurs_prenant_l_API" localSheetId="0">'[2]2. Actions commerciales'!#REF!</definedName>
    <definedName name="d_organisateurs_prenant_l_API">'[1]2. Actions commerciales'!#REF!</definedName>
    <definedName name="de_clients_achetant_tous_les_4_mois" localSheetId="4">'[1]1.1 Hypothèses Digital'!#REF!</definedName>
    <definedName name="de_clients_achetant_tous_les_4_mois" localSheetId="0">'[2]1.1 Hypothèses Digital'!#REF!</definedName>
    <definedName name="de_clients_achetant_tous_les_4_mois">'[1]1.1 Hypothèses Digital'!#REF!</definedName>
    <definedName name="Fidélisation_visteurs_uniques" localSheetId="4">'[1]1.1 Hypothèses Digital'!#REF!</definedName>
    <definedName name="Fidélisation_visteurs_uniques" localSheetId="0">'[2]1.1 Hypothèses Digital'!#REF!</definedName>
    <definedName name="Fidélisation_visteurs_uniques">'[1]1.1 Hypothèses Digital'!#REF!</definedName>
    <definedName name="Frais_abonnement_annuel_API_paiement" localSheetId="4">'[1]2. Actions commerciales'!#REF!</definedName>
    <definedName name="Frais_abonnement_annuel_API_paiement" localSheetId="0">'[2]2. Actions commerciales'!#REF!</definedName>
    <definedName name="Frais_abonnement_annuel_API_paiement">'[1]2. Actions commerciales'!#REF!</definedName>
    <definedName name="Frais_de_set_up" localSheetId="4">'[1]2. Actions commerciales'!#REF!</definedName>
    <definedName name="Frais_de_set_up" localSheetId="0">'[2]2. Actions commerciales'!#REF!</definedName>
    <definedName name="Frais_de_set_up">'[1]2. Actions commerciales'!#REF!</definedName>
    <definedName name="Marge_brute_In_House" localSheetId="4">'[1]2. Actions commerciales'!#REF!</definedName>
    <definedName name="Marge_brute_In_House" localSheetId="0">'[2]2. Actions commerciales'!#REF!</definedName>
    <definedName name="Marge_brute_In_House">'[1]2. Actions commerciales'!#REF!</definedName>
    <definedName name="Marge_brute_out_of_house" localSheetId="4">'[1]2. Actions commerciales'!#REF!</definedName>
    <definedName name="Marge_brute_out_of_house" localSheetId="0">'[2]2. Actions commerciales'!#REF!</definedName>
    <definedName name="Marge_brute_out_of_house">'[1]2. Actions commerciales'!#REF!</definedName>
    <definedName name="Meubles" localSheetId="4">'[1]5. Investissements'!#REF!</definedName>
    <definedName name="Meubles" localSheetId="0">'[2]5. Investissements'!#REF!</definedName>
    <definedName name="Meubles">'[1]5. Investissements'!#REF!</definedName>
    <definedName name="mots_cles_belgique" localSheetId="4">'[1]1.2 Mots clés'!#REF!</definedName>
    <definedName name="mots_cles_belgique" localSheetId="0">'[2]1.2 Mots clés'!#REF!</definedName>
    <definedName name="mots_cles_belgique">'[1]1.2 Mots clés'!#REF!</definedName>
    <definedName name="MULTIPLE_CA" localSheetId="4">#REF!</definedName>
    <definedName name="MULTIPLE_CA" localSheetId="0">#REF!</definedName>
    <definedName name="MULTIPLE_CA">#REF!</definedName>
    <definedName name="multiple_ebitda" localSheetId="4">#REF!</definedName>
    <definedName name="multiple_ebitda" localSheetId="0">#REF!</definedName>
    <definedName name="multiple_ebitda">#REF!</definedName>
    <definedName name="Nombre_d_entreprises_contactées_par_mois___respo_commercial_entreprise" localSheetId="4">'[1]2. Actions commerciales'!#REF!</definedName>
    <definedName name="Nombre_d_entreprises_contactées_par_mois___respo_commercial_entreprise" localSheetId="0">'[2]2. Actions commerciales'!#REF!</definedName>
    <definedName name="Nombre_d_entreprises_contactées_par_mois___respo_commercial_entreprise">'[1]2. Actions commerciales'!#REF!</definedName>
    <definedName name="Nombre_de_places_moyennes_par_stage" localSheetId="4">'[1]2. Actions commerciales'!#REF!</definedName>
    <definedName name="Nombre_de_places_moyennes_par_stage" localSheetId="0">'[2]2. Actions commerciales'!#REF!</definedName>
    <definedName name="Nombre_de_places_moyennes_par_stage">'[1]2. Actions commerciales'!#REF!</definedName>
    <definedName name="Nombre_total_de_clients__Web_et_commercial" localSheetId="4">'[1]2. Actions commerciales'!#REF!</definedName>
    <definedName name="Nombre_total_de_clients__Web_et_commercial" localSheetId="0">'[2]2. Actions commerciales'!#REF!</definedName>
    <definedName name="Nombre_total_de_clients__Web_et_commercial">'[1]2. Actions commerciales'!#REF!</definedName>
    <definedName name="Panier_moyen_d_un_client_en_Inhouse" localSheetId="4">'[1]2. Actions commerciales'!#REF!</definedName>
    <definedName name="Panier_moyen_d_un_client_en_Inhouse" localSheetId="0">'[2]2. Actions commerciales'!#REF!</definedName>
    <definedName name="Panier_moyen_d_un_client_en_Inhouse">'[1]2. Actions commerciales'!#REF!</definedName>
    <definedName name="Panier_moyen_d_un_client_en_Out_of_house" localSheetId="4">'[1]2. Actions commerciales'!#REF!</definedName>
    <definedName name="Panier_moyen_d_un_client_en_Out_of_house" localSheetId="0">'[2]2. Actions commerciales'!#REF!</definedName>
    <definedName name="Panier_moyen_d_un_client_en_Out_of_house">'[1]2. Actions commerciales'!#REF!</definedName>
    <definedName name="Panier_moyen_d_un_client_stage_important" localSheetId="4">'[1]2. Actions commerciales'!#REF!</definedName>
    <definedName name="Panier_moyen_d_un_client_stage_important" localSheetId="0">'[2]2. Actions commerciales'!#REF!</definedName>
    <definedName name="Panier_moyen_d_un_client_stage_important">'[1]2. Actions commerciales'!#REF!</definedName>
    <definedName name="Panier_moyen_d_un_client_stage_petit" localSheetId="4">'[1]2. Actions commerciales'!#REF!</definedName>
    <definedName name="Panier_moyen_d_un_client_stage_petit" localSheetId="0">'[2]2. Actions commerciales'!#REF!</definedName>
    <definedName name="Panier_moyen_d_un_client_stage_petit">'[1]2. Actions commerciales'!#REF!</definedName>
    <definedName name="Part_des_investisseurs_au_moment_de_la_revente" localSheetId="4">#REF!</definedName>
    <definedName name="Part_des_investisseurs_au_moment_de_la_revente" localSheetId="0">#REF!</definedName>
    <definedName name="Part_des_investisseurs_au_moment_de_la_revente">#REF!</definedName>
    <definedName name="Position_moyenne_Belgique" localSheetId="4">'[1]1.2 Mots clés'!#REF!</definedName>
    <definedName name="Position_moyenne_Belgique" localSheetId="0">'[2]1.2 Mots clés'!#REF!</definedName>
    <definedName name="Position_moyenne_Belgique">'[1]1.2 Mots clés'!#REF!</definedName>
    <definedName name="Proportion_achat_client_stage_important" localSheetId="4">'[1]2. Actions commerciales'!#REF!</definedName>
    <definedName name="Proportion_achat_client_stage_important" localSheetId="0">'[2]2. Actions commerciales'!#REF!</definedName>
    <definedName name="Proportion_achat_client_stage_important">'[1]2. Actions commerciales'!#REF!</definedName>
    <definedName name="Proportion_achat_In_House" localSheetId="4">'[1]2. Actions commerciales'!#REF!</definedName>
    <definedName name="Proportion_achat_In_House" localSheetId="0">'[2]2. Actions commerciales'!#REF!</definedName>
    <definedName name="Proportion_achat_In_House">'[1]2. Actions commerciales'!#REF!</definedName>
    <definedName name="Proportion_achat_petit_stage" localSheetId="4">'[1]2. Actions commerciales'!#REF!</definedName>
    <definedName name="Proportion_achat_petit_stage" localSheetId="0">'[2]2. Actions commerciales'!#REF!</definedName>
    <definedName name="Proportion_achat_petit_stage">'[1]2. Actions commerciales'!#REF!</definedName>
    <definedName name="Proportion_d_entreprises_proposant_un_stage" localSheetId="4">'[1]2. Actions commerciales'!#REF!</definedName>
    <definedName name="Proportion_d_entreprises_proposant_un_stage" localSheetId="0">'[2]2. Actions commerciales'!#REF!</definedName>
    <definedName name="Proportion_d_entreprises_proposant_un_stage">'[1]2. Actions commerciales'!#REF!</definedName>
    <definedName name="Retour_sur_investissement_proposé_annualisé" localSheetId="4">#REF!</definedName>
    <definedName name="Retour_sur_investissement_proposé_annualisé" localSheetId="0">#REF!</definedName>
    <definedName name="Retour_sur_investissement_proposé_annualisé">#REF!</definedName>
    <definedName name="Taux_croissance_salaire" localSheetId="4">'[1]3. Ressources humaines'!#REF!</definedName>
    <definedName name="Taux_croissance_salaire" localSheetId="0">'[2]3. Ressources humaines'!#REF!</definedName>
    <definedName name="Taux_croissance_salaire">'[1]3. Ressources humaines'!#REF!</definedName>
    <definedName name="Taux_de_fidélisation_des_entreprises_organisatrices_de_stage" localSheetId="4">'[1]2. Actions commerciales'!#REF!</definedName>
    <definedName name="Taux_de_fidélisation_des_entreprises_organisatrices_de_stage" localSheetId="0">'[2]2. Actions commerciales'!#REF!</definedName>
    <definedName name="Taux_de_fidélisation_des_entreprises_organisatrices_de_stage">'[1]2. Actions commerciales'!#REF!</definedName>
    <definedName name="Taux_de_transformation_commercial" localSheetId="4">'[1]2. Actions commerciales'!#REF!</definedName>
    <definedName name="Taux_de_transformation_commercial" localSheetId="0">'[2]2. Actions commerciales'!#REF!</definedName>
    <definedName name="Taux_de_transformation_commercial">'[1]2. Actions commerciales'!#REF!</definedName>
    <definedName name="Taux_de_transformation_sur_le_site" localSheetId="0">'[2]1.1 Hypothèses Digital'!$C$28</definedName>
    <definedName name="Taux_de_transformation_sur_le_site">'[1]1.1 Hypothèses Digital'!$C$28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37" l="1"/>
  <c r="E23" i="37"/>
  <c r="F23" i="37"/>
  <c r="G23" i="37"/>
  <c r="H23" i="37"/>
  <c r="I23" i="37"/>
  <c r="J23" i="37"/>
  <c r="K23" i="37"/>
  <c r="L23" i="37"/>
  <c r="M23" i="37"/>
  <c r="N23" i="37"/>
  <c r="O23" i="37"/>
  <c r="P23" i="37"/>
  <c r="Q23" i="37"/>
  <c r="R23" i="37"/>
  <c r="S23" i="37"/>
  <c r="T23" i="37"/>
  <c r="U23" i="37"/>
  <c r="V23" i="37"/>
  <c r="W23" i="37"/>
  <c r="X23" i="37"/>
  <c r="Y23" i="37"/>
  <c r="Z23" i="37"/>
  <c r="AA23" i="37"/>
  <c r="AB23" i="37"/>
  <c r="AC23" i="37"/>
  <c r="AD23" i="37"/>
  <c r="AE23" i="37"/>
  <c r="AF23" i="37"/>
  <c r="AG23" i="37"/>
  <c r="AH23" i="37"/>
  <c r="AI23" i="37"/>
  <c r="AJ23" i="37"/>
  <c r="AK23" i="37"/>
  <c r="AL23" i="37"/>
  <c r="AM23" i="37"/>
  <c r="AN23" i="37"/>
  <c r="AO23" i="37"/>
  <c r="AP23" i="37"/>
  <c r="AQ23" i="37"/>
  <c r="AR23" i="37"/>
  <c r="AS23" i="37"/>
  <c r="AT23" i="37"/>
  <c r="AU23" i="37"/>
  <c r="AV23" i="37"/>
  <c r="AW23" i="37"/>
  <c r="C23" i="37"/>
  <c r="C24" i="34" l="1"/>
  <c r="D24" i="34"/>
  <c r="E24" i="34"/>
  <c r="F24" i="34"/>
  <c r="G24" i="34"/>
  <c r="H24" i="34"/>
  <c r="I24" i="34"/>
  <c r="J24" i="34"/>
  <c r="K24" i="34"/>
  <c r="L24" i="34"/>
  <c r="M24" i="34"/>
  <c r="N24" i="34"/>
  <c r="O24" i="34"/>
  <c r="P24" i="34"/>
  <c r="Q24" i="34"/>
  <c r="R24" i="34"/>
  <c r="S24" i="34"/>
  <c r="T24" i="34"/>
  <c r="U24" i="34"/>
  <c r="V24" i="34"/>
  <c r="W24" i="34"/>
  <c r="X24" i="34"/>
  <c r="Y24" i="34"/>
  <c r="Z24" i="34"/>
  <c r="D7" i="35" s="1"/>
  <c r="AA24" i="34"/>
  <c r="AB24" i="34"/>
  <c r="AC24" i="34"/>
  <c r="AD24" i="34"/>
  <c r="AE24" i="34"/>
  <c r="AF24" i="34"/>
  <c r="AG24" i="34"/>
  <c r="AH24" i="34"/>
  <c r="AI24" i="34"/>
  <c r="AJ24" i="34"/>
  <c r="AK24" i="34"/>
  <c r="AL24" i="34"/>
  <c r="E7" i="35" s="1"/>
  <c r="AM24" i="34"/>
  <c r="AN24" i="34"/>
  <c r="AO24" i="34"/>
  <c r="AP24" i="34"/>
  <c r="AQ24" i="34"/>
  <c r="AR24" i="34"/>
  <c r="AS24" i="34"/>
  <c r="AT24" i="34"/>
  <c r="AU24" i="34"/>
  <c r="AV24" i="34"/>
  <c r="AW24" i="34"/>
  <c r="B39" i="34"/>
  <c r="B24" i="34"/>
  <c r="B16" i="34"/>
  <c r="C16" i="34"/>
  <c r="D16" i="34"/>
  <c r="D15" i="34" s="1"/>
  <c r="E16" i="34"/>
  <c r="F16" i="34"/>
  <c r="F15" i="34" s="1"/>
  <c r="F6" i="37" s="1"/>
  <c r="G16" i="34"/>
  <c r="H16" i="34"/>
  <c r="I16" i="34"/>
  <c r="J16" i="34"/>
  <c r="K16" i="34"/>
  <c r="B17" i="34"/>
  <c r="C17" i="34"/>
  <c r="D17" i="34"/>
  <c r="E17" i="34"/>
  <c r="E15" i="34" s="1"/>
  <c r="E6" i="37" s="1"/>
  <c r="F17" i="34"/>
  <c r="H17" i="34"/>
  <c r="I17" i="34"/>
  <c r="W18" i="34"/>
  <c r="X18" i="34"/>
  <c r="Y18" i="34"/>
  <c r="Z18" i="34"/>
  <c r="AA18" i="34"/>
  <c r="AB18" i="34"/>
  <c r="AC18" i="34"/>
  <c r="AD18" i="34"/>
  <c r="AE18" i="34"/>
  <c r="AF18" i="34"/>
  <c r="AG18" i="34"/>
  <c r="AH18" i="34"/>
  <c r="AI18" i="34"/>
  <c r="AJ18" i="34"/>
  <c r="AK18" i="34"/>
  <c r="T18" i="34"/>
  <c r="C15" i="34" l="1"/>
  <c r="B7" i="35"/>
  <c r="C6" i="37"/>
  <c r="D6" i="37"/>
  <c r="I15" i="34"/>
  <c r="C7" i="35"/>
  <c r="H15" i="34"/>
  <c r="B15" i="34"/>
  <c r="B6" i="37" s="1"/>
  <c r="R18" i="34"/>
  <c r="H6" i="37" l="1"/>
  <c r="I6" i="37"/>
  <c r="B51" i="34"/>
  <c r="C19" i="37"/>
  <c r="D19" i="37"/>
  <c r="E19" i="37"/>
  <c r="F19" i="37"/>
  <c r="G19" i="37"/>
  <c r="H19" i="37"/>
  <c r="I19" i="37"/>
  <c r="J19" i="37"/>
  <c r="K19" i="37"/>
  <c r="L19" i="37"/>
  <c r="M19" i="37"/>
  <c r="N19" i="37"/>
  <c r="O19" i="37"/>
  <c r="P19" i="37"/>
  <c r="Q19" i="37"/>
  <c r="R19" i="37"/>
  <c r="S19" i="37"/>
  <c r="T19" i="37"/>
  <c r="U19" i="37"/>
  <c r="V19" i="37"/>
  <c r="W19" i="37"/>
  <c r="X19" i="37"/>
  <c r="Y19" i="37"/>
  <c r="Z19" i="37"/>
  <c r="AA19" i="37"/>
  <c r="AB19" i="37"/>
  <c r="AC19" i="37"/>
  <c r="AD19" i="37"/>
  <c r="AE19" i="37"/>
  <c r="AF19" i="37"/>
  <c r="AG19" i="37"/>
  <c r="AH19" i="37"/>
  <c r="AI19" i="37"/>
  <c r="AJ19" i="37"/>
  <c r="AK19" i="37"/>
  <c r="AL19" i="37"/>
  <c r="AM19" i="37"/>
  <c r="AN19" i="37"/>
  <c r="AO19" i="37"/>
  <c r="AP19" i="37"/>
  <c r="AQ19" i="37"/>
  <c r="AR19" i="37"/>
  <c r="AS19" i="37"/>
  <c r="AT19" i="37"/>
  <c r="AU19" i="37"/>
  <c r="AV19" i="37"/>
  <c r="AW19" i="37"/>
  <c r="B19" i="37" l="1"/>
  <c r="C12" i="37"/>
  <c r="D12" i="37"/>
  <c r="E12" i="37"/>
  <c r="F12" i="37"/>
  <c r="G12" i="37"/>
  <c r="H12" i="37"/>
  <c r="I12" i="37"/>
  <c r="J12" i="37"/>
  <c r="K12" i="37"/>
  <c r="L12" i="37"/>
  <c r="M12" i="37"/>
  <c r="B12" i="37"/>
  <c r="O12" i="37"/>
  <c r="P12" i="37"/>
  <c r="Q12" i="37"/>
  <c r="R12" i="37"/>
  <c r="S12" i="37"/>
  <c r="T12" i="37"/>
  <c r="U12" i="37"/>
  <c r="V12" i="37"/>
  <c r="W12" i="37"/>
  <c r="X12" i="37"/>
  <c r="Y12" i="37"/>
  <c r="N12" i="37"/>
  <c r="L5" i="34" l="1"/>
  <c r="M5" i="34" s="1"/>
  <c r="N5" i="34" l="1"/>
  <c r="F4" i="35"/>
  <c r="O5" i="34" l="1"/>
  <c r="V18" i="34"/>
  <c r="AL18" i="34"/>
  <c r="S18" i="34"/>
  <c r="P18" i="34"/>
  <c r="B66" i="34"/>
  <c r="B9" i="37" s="1"/>
  <c r="C66" i="34"/>
  <c r="D66" i="34"/>
  <c r="AX17" i="37"/>
  <c r="AY17" i="37"/>
  <c r="AZ17" i="37"/>
  <c r="BA17" i="37"/>
  <c r="BB17" i="37"/>
  <c r="BC17" i="37"/>
  <c r="BD17" i="37"/>
  <c r="BE17" i="37"/>
  <c r="BF17" i="37"/>
  <c r="BG17" i="37"/>
  <c r="BH17" i="37"/>
  <c r="BI17" i="37"/>
  <c r="H4" i="37"/>
  <c r="I4" i="37"/>
  <c r="G4" i="37"/>
  <c r="U18" i="34"/>
  <c r="Q18" i="34"/>
  <c r="N18" i="34"/>
  <c r="G18" i="34"/>
  <c r="G17" i="34" s="1"/>
  <c r="G15" i="34" s="1"/>
  <c r="AL54" i="34"/>
  <c r="AM54" i="34"/>
  <c r="AN54" i="34"/>
  <c r="AO54" i="34"/>
  <c r="AP54" i="34"/>
  <c r="AQ54" i="34"/>
  <c r="AR54" i="34"/>
  <c r="AS54" i="34"/>
  <c r="AT54" i="34"/>
  <c r="AU54" i="34"/>
  <c r="AV54" i="34"/>
  <c r="AW54" i="34"/>
  <c r="AL55" i="34"/>
  <c r="AM55" i="34"/>
  <c r="AN55" i="34"/>
  <c r="AO55" i="34"/>
  <c r="AP55" i="34"/>
  <c r="AQ55" i="34"/>
  <c r="AR55" i="34"/>
  <c r="AS55" i="34"/>
  <c r="AT55" i="34"/>
  <c r="AU55" i="34"/>
  <c r="AV55" i="34"/>
  <c r="AW55" i="34"/>
  <c r="C54" i="34"/>
  <c r="D54" i="34"/>
  <c r="E54" i="34"/>
  <c r="F54" i="34"/>
  <c r="G54" i="34"/>
  <c r="H54" i="34"/>
  <c r="I54" i="34"/>
  <c r="J54" i="34"/>
  <c r="K54" i="34"/>
  <c r="L54" i="34"/>
  <c r="M54" i="34"/>
  <c r="O54" i="34"/>
  <c r="P54" i="34"/>
  <c r="Q54" i="34"/>
  <c r="R54" i="34"/>
  <c r="S54" i="34"/>
  <c r="T54" i="34"/>
  <c r="U54" i="34"/>
  <c r="V54" i="34"/>
  <c r="W54" i="34"/>
  <c r="X54" i="34"/>
  <c r="Y54" i="34"/>
  <c r="Z54" i="34"/>
  <c r="AA54" i="34"/>
  <c r="AB54" i="34"/>
  <c r="AC54" i="34"/>
  <c r="AD54" i="34"/>
  <c r="AE54" i="34"/>
  <c r="AF54" i="34"/>
  <c r="AG54" i="34"/>
  <c r="AH54" i="34"/>
  <c r="AI54" i="34"/>
  <c r="AJ54" i="34"/>
  <c r="AK54" i="34"/>
  <c r="C55" i="34"/>
  <c r="D55" i="34"/>
  <c r="E55" i="34"/>
  <c r="F55" i="34"/>
  <c r="G55" i="34"/>
  <c r="H55" i="34"/>
  <c r="I55" i="34"/>
  <c r="J55" i="34"/>
  <c r="K55" i="34"/>
  <c r="L55" i="34"/>
  <c r="M55" i="34"/>
  <c r="N55" i="34"/>
  <c r="O55" i="34"/>
  <c r="P55" i="34"/>
  <c r="Q55" i="34"/>
  <c r="R55" i="34"/>
  <c r="S55" i="34"/>
  <c r="T55" i="34"/>
  <c r="U55" i="34"/>
  <c r="V55" i="34"/>
  <c r="W55" i="34"/>
  <c r="X55" i="34"/>
  <c r="Y55" i="34"/>
  <c r="Z55" i="34"/>
  <c r="AA55" i="34"/>
  <c r="AB55" i="34"/>
  <c r="AC55" i="34"/>
  <c r="AD55" i="34"/>
  <c r="AE55" i="34"/>
  <c r="AF55" i="34"/>
  <c r="AG55" i="34"/>
  <c r="AH55" i="34"/>
  <c r="AI55" i="34"/>
  <c r="AJ55" i="34"/>
  <c r="AK55" i="34"/>
  <c r="AA56" i="34"/>
  <c r="AB56" i="34"/>
  <c r="AC56" i="34"/>
  <c r="AD56" i="34"/>
  <c r="AE56" i="34"/>
  <c r="AF56" i="34"/>
  <c r="AG56" i="34"/>
  <c r="AH56" i="34"/>
  <c r="AI56" i="34"/>
  <c r="AJ56" i="34"/>
  <c r="AK56" i="34"/>
  <c r="AA57" i="34"/>
  <c r="AB57" i="34"/>
  <c r="AC57" i="34"/>
  <c r="AD57" i="34"/>
  <c r="AE57" i="34"/>
  <c r="AF57" i="34"/>
  <c r="AG57" i="34"/>
  <c r="AH57" i="34"/>
  <c r="AI57" i="34"/>
  <c r="AJ57" i="34"/>
  <c r="AK57" i="34"/>
  <c r="AA58" i="34"/>
  <c r="AB58" i="34"/>
  <c r="AC58" i="34"/>
  <c r="AD58" i="34"/>
  <c r="AE58" i="34"/>
  <c r="AF58" i="34"/>
  <c r="AG58" i="34"/>
  <c r="AH58" i="34"/>
  <c r="AI58" i="34"/>
  <c r="AJ58" i="34"/>
  <c r="AK58" i="34"/>
  <c r="AA59" i="34"/>
  <c r="AB59" i="34"/>
  <c r="AC59" i="34"/>
  <c r="AD59" i="34"/>
  <c r="AE59" i="34"/>
  <c r="AF59" i="34"/>
  <c r="AG59" i="34"/>
  <c r="AH59" i="34"/>
  <c r="AI59" i="34"/>
  <c r="AJ59" i="34"/>
  <c r="AK59" i="34"/>
  <c r="T62" i="34"/>
  <c r="U62" i="34"/>
  <c r="V62" i="34"/>
  <c r="W62" i="34"/>
  <c r="X62" i="34"/>
  <c r="Y62" i="34"/>
  <c r="AA62" i="34"/>
  <c r="AB62" i="34"/>
  <c r="AC62" i="34"/>
  <c r="AD62" i="34"/>
  <c r="AE62" i="34"/>
  <c r="AF62" i="34"/>
  <c r="AG62" i="34"/>
  <c r="AH62" i="34"/>
  <c r="AI62" i="34"/>
  <c r="AJ62" i="34"/>
  <c r="AK62" i="34"/>
  <c r="V63" i="34"/>
  <c r="W63" i="34"/>
  <c r="X63" i="34"/>
  <c r="Y63" i="34"/>
  <c r="AA63" i="34"/>
  <c r="AB63" i="34"/>
  <c r="AC63" i="34"/>
  <c r="AD63" i="34"/>
  <c r="AE63" i="34"/>
  <c r="AF63" i="34"/>
  <c r="AG63" i="34"/>
  <c r="AH63" i="34"/>
  <c r="AI63" i="34"/>
  <c r="AJ63" i="34"/>
  <c r="AK63" i="34"/>
  <c r="T64" i="34"/>
  <c r="U64" i="34"/>
  <c r="V64" i="34"/>
  <c r="W64" i="34"/>
  <c r="X64" i="34"/>
  <c r="Y64" i="34"/>
  <c r="AA64" i="34"/>
  <c r="AB64" i="34"/>
  <c r="AC64" i="34"/>
  <c r="AD64" i="34"/>
  <c r="AE64" i="34"/>
  <c r="AF64" i="34"/>
  <c r="AG64" i="34"/>
  <c r="AH64" i="34"/>
  <c r="AI64" i="34"/>
  <c r="AJ64" i="34"/>
  <c r="AK64" i="34"/>
  <c r="B55" i="34"/>
  <c r="B54" i="34"/>
  <c r="A55" i="34"/>
  <c r="A56" i="34"/>
  <c r="A57" i="34"/>
  <c r="A58" i="34"/>
  <c r="A59" i="34"/>
  <c r="A60" i="34"/>
  <c r="A61" i="34"/>
  <c r="A62" i="34"/>
  <c r="A63" i="34"/>
  <c r="A64" i="34"/>
  <c r="A54" i="34"/>
  <c r="AD15" i="36"/>
  <c r="Z63" i="34" s="1"/>
  <c r="AP15" i="36"/>
  <c r="AL63" i="34" s="1"/>
  <c r="AQ15" i="36"/>
  <c r="AM63" i="34" s="1"/>
  <c r="AR15" i="36"/>
  <c r="AN63" i="34" s="1"/>
  <c r="AS15" i="36"/>
  <c r="AO63" i="34" s="1"/>
  <c r="AT15" i="36"/>
  <c r="AP63" i="34" s="1"/>
  <c r="AU15" i="36"/>
  <c r="AQ63" i="34" s="1"/>
  <c r="AV15" i="36"/>
  <c r="AR63" i="34" s="1"/>
  <c r="AW15" i="36"/>
  <c r="AS63" i="34" s="1"/>
  <c r="AX15" i="36"/>
  <c r="AT63" i="34" s="1"/>
  <c r="AY15" i="36"/>
  <c r="AU63" i="34" s="1"/>
  <c r="AZ15" i="36"/>
  <c r="AV63" i="34" s="1"/>
  <c r="BA15" i="36"/>
  <c r="AW63" i="34" s="1"/>
  <c r="AQ8" i="36"/>
  <c r="AM56" i="34" s="1"/>
  <c r="AR8" i="36"/>
  <c r="AN56" i="34" s="1"/>
  <c r="AS8" i="36"/>
  <c r="AO56" i="34" s="1"/>
  <c r="AT8" i="36"/>
  <c r="AP56" i="34" s="1"/>
  <c r="AU8" i="36"/>
  <c r="AQ56" i="34" s="1"/>
  <c r="AV8" i="36"/>
  <c r="AR56" i="34" s="1"/>
  <c r="AW8" i="36"/>
  <c r="AS56" i="34" s="1"/>
  <c r="AX8" i="36"/>
  <c r="AT56" i="34" s="1"/>
  <c r="AY8" i="36"/>
  <c r="AU56" i="34" s="1"/>
  <c r="AZ8" i="36"/>
  <c r="AV56" i="34" s="1"/>
  <c r="BA8" i="36"/>
  <c r="AW56" i="34" s="1"/>
  <c r="AQ9" i="36"/>
  <c r="AM57" i="34" s="1"/>
  <c r="AR9" i="36"/>
  <c r="AN57" i="34" s="1"/>
  <c r="AS9" i="36"/>
  <c r="AO57" i="34" s="1"/>
  <c r="AT9" i="36"/>
  <c r="AP57" i="34" s="1"/>
  <c r="AU9" i="36"/>
  <c r="AQ57" i="34" s="1"/>
  <c r="AV9" i="36"/>
  <c r="AR57" i="34" s="1"/>
  <c r="AW9" i="36"/>
  <c r="AS57" i="34" s="1"/>
  <c r="AX9" i="36"/>
  <c r="AT57" i="34" s="1"/>
  <c r="AY9" i="36"/>
  <c r="AU57" i="34" s="1"/>
  <c r="AZ9" i="36"/>
  <c r="AV57" i="34" s="1"/>
  <c r="BA9" i="36"/>
  <c r="AW57" i="34" s="1"/>
  <c r="AQ10" i="36"/>
  <c r="AM58" i="34" s="1"/>
  <c r="AR10" i="36"/>
  <c r="AN58" i="34" s="1"/>
  <c r="AS10" i="36"/>
  <c r="AO58" i="34" s="1"/>
  <c r="AT10" i="36"/>
  <c r="AP58" i="34" s="1"/>
  <c r="AU10" i="36"/>
  <c r="AQ58" i="34" s="1"/>
  <c r="AV10" i="36"/>
  <c r="AR58" i="34" s="1"/>
  <c r="AW10" i="36"/>
  <c r="AS58" i="34" s="1"/>
  <c r="AX10" i="36"/>
  <c r="AT58" i="34" s="1"/>
  <c r="AY10" i="36"/>
  <c r="AU58" i="34" s="1"/>
  <c r="AZ10" i="36"/>
  <c r="AV58" i="34" s="1"/>
  <c r="BA10" i="36"/>
  <c r="AW58" i="34" s="1"/>
  <c r="AQ11" i="36"/>
  <c r="AM59" i="34" s="1"/>
  <c r="AR11" i="36"/>
  <c r="AN59" i="34" s="1"/>
  <c r="AS11" i="36"/>
  <c r="AO59" i="34" s="1"/>
  <c r="AT11" i="36"/>
  <c r="AP59" i="34" s="1"/>
  <c r="AU11" i="36"/>
  <c r="AQ59" i="34" s="1"/>
  <c r="AV11" i="36"/>
  <c r="AR59" i="34" s="1"/>
  <c r="AW11" i="36"/>
  <c r="AS59" i="34" s="1"/>
  <c r="AX11" i="36"/>
  <c r="AT59" i="34" s="1"/>
  <c r="AY11" i="36"/>
  <c r="AU59" i="34" s="1"/>
  <c r="AZ11" i="36"/>
  <c r="AV59" i="34" s="1"/>
  <c r="BA11" i="36"/>
  <c r="AW59" i="34" s="1"/>
  <c r="AQ14" i="36"/>
  <c r="AM62" i="34" s="1"/>
  <c r="AR14" i="36"/>
  <c r="AN62" i="34" s="1"/>
  <c r="AS14" i="36"/>
  <c r="AO62" i="34" s="1"/>
  <c r="AT14" i="36"/>
  <c r="AP62" i="34" s="1"/>
  <c r="AU14" i="36"/>
  <c r="AQ62" i="34" s="1"/>
  <c r="AV14" i="36"/>
  <c r="AR62" i="34" s="1"/>
  <c r="AW14" i="36"/>
  <c r="AS62" i="34" s="1"/>
  <c r="AX14" i="36"/>
  <c r="AT62" i="34" s="1"/>
  <c r="AY14" i="36"/>
  <c r="AU62" i="34" s="1"/>
  <c r="AZ14" i="36"/>
  <c r="AV62" i="34" s="1"/>
  <c r="BA14" i="36"/>
  <c r="AW62" i="34" s="1"/>
  <c r="AQ16" i="36"/>
  <c r="AM64" i="34" s="1"/>
  <c r="AR16" i="36"/>
  <c r="AN64" i="34" s="1"/>
  <c r="AS16" i="36"/>
  <c r="AO64" i="34" s="1"/>
  <c r="AT16" i="36"/>
  <c r="AP64" i="34" s="1"/>
  <c r="AU16" i="36"/>
  <c r="AQ64" i="34" s="1"/>
  <c r="AV16" i="36"/>
  <c r="AR64" i="34" s="1"/>
  <c r="AW16" i="36"/>
  <c r="AS64" i="34" s="1"/>
  <c r="AX16" i="36"/>
  <c r="AT64" i="34" s="1"/>
  <c r="AY16" i="36"/>
  <c r="AU64" i="34" s="1"/>
  <c r="AZ16" i="36"/>
  <c r="AV64" i="34" s="1"/>
  <c r="BA16" i="36"/>
  <c r="AW64" i="34" s="1"/>
  <c r="AP9" i="36"/>
  <c r="AL57" i="34" s="1"/>
  <c r="AP10" i="36"/>
  <c r="AL58" i="34" s="1"/>
  <c r="AP11" i="36"/>
  <c r="AL59" i="34" s="1"/>
  <c r="AP14" i="36"/>
  <c r="AL62" i="34" s="1"/>
  <c r="AP16" i="36"/>
  <c r="AL64" i="34" s="1"/>
  <c r="AP8" i="36"/>
  <c r="AL56" i="34" s="1"/>
  <c r="AD14" i="36"/>
  <c r="Z62" i="34" s="1"/>
  <c r="G6" i="37" l="1"/>
  <c r="P5" i="34"/>
  <c r="C53" i="34"/>
  <c r="D53" i="34"/>
  <c r="B53" i="34"/>
  <c r="B10" i="37" s="1"/>
  <c r="C39" i="34"/>
  <c r="D39" i="34"/>
  <c r="C9" i="37" l="1"/>
  <c r="C51" i="34"/>
  <c r="D9" i="37"/>
  <c r="D51" i="34"/>
  <c r="B77" i="34"/>
  <c r="Q5" i="34"/>
  <c r="C10" i="37"/>
  <c r="D10" i="37"/>
  <c r="J12" i="34"/>
  <c r="P10" i="34"/>
  <c r="Q10" i="34"/>
  <c r="R10" i="34"/>
  <c r="S10" i="34"/>
  <c r="T10" i="34"/>
  <c r="U10" i="34"/>
  <c r="V10" i="34"/>
  <c r="W10" i="34"/>
  <c r="X10" i="34"/>
  <c r="Y10" i="34"/>
  <c r="Z10" i="34"/>
  <c r="AA10" i="34"/>
  <c r="AB10" i="34"/>
  <c r="AC10" i="34"/>
  <c r="AD10" i="34"/>
  <c r="AE10" i="34"/>
  <c r="AF10" i="34"/>
  <c r="AG10" i="34"/>
  <c r="AH10" i="34"/>
  <c r="AI10" i="34"/>
  <c r="AJ10" i="34"/>
  <c r="AK10" i="34"/>
  <c r="AL10" i="34"/>
  <c r="AM10" i="34"/>
  <c r="AN10" i="34"/>
  <c r="AO10" i="34"/>
  <c r="AP10" i="34"/>
  <c r="AQ10" i="34"/>
  <c r="AR10" i="34"/>
  <c r="AS10" i="34"/>
  <c r="AT10" i="34"/>
  <c r="AU10" i="34"/>
  <c r="AV10" i="34"/>
  <c r="AW10" i="34"/>
  <c r="J10" i="34"/>
  <c r="K10" i="34"/>
  <c r="L10" i="34"/>
  <c r="M10" i="34"/>
  <c r="N10" i="34"/>
  <c r="O10" i="34"/>
  <c r="B8" i="37" l="1"/>
  <c r="C77" i="34"/>
  <c r="D77" i="34"/>
  <c r="V21" i="34"/>
  <c r="V22" i="34"/>
  <c r="D8" i="37"/>
  <c r="C8" i="37"/>
  <c r="R5" i="34"/>
  <c r="AU21" i="34"/>
  <c r="AU22" i="34"/>
  <c r="AE21" i="34"/>
  <c r="AE22" i="34"/>
  <c r="AD21" i="34"/>
  <c r="AD22" i="34"/>
  <c r="AS21" i="34"/>
  <c r="AS22" i="34"/>
  <c r="AK21" i="34"/>
  <c r="AK22" i="34"/>
  <c r="AC21" i="34"/>
  <c r="AC22" i="34"/>
  <c r="AR21" i="34"/>
  <c r="AR22" i="34"/>
  <c r="AJ21" i="34"/>
  <c r="AJ22" i="34"/>
  <c r="AB21" i="34"/>
  <c r="AB22" i="34"/>
  <c r="AL21" i="34"/>
  <c r="AL22" i="34"/>
  <c r="AI21" i="34"/>
  <c r="AI22" i="34"/>
  <c r="AP21" i="34"/>
  <c r="AP22" i="34"/>
  <c r="AW21" i="34"/>
  <c r="AW22" i="34"/>
  <c r="AO21" i="34"/>
  <c r="AO22" i="34"/>
  <c r="AG21" i="34"/>
  <c r="AG22" i="34"/>
  <c r="AM21" i="34"/>
  <c r="AM22" i="34"/>
  <c r="AT21" i="34"/>
  <c r="AT22" i="34"/>
  <c r="AQ21" i="34"/>
  <c r="AQ22" i="34"/>
  <c r="AA21" i="34"/>
  <c r="AA22" i="34"/>
  <c r="AH21" i="34"/>
  <c r="AH22" i="34"/>
  <c r="AV21" i="34"/>
  <c r="AV22" i="34"/>
  <c r="AN21" i="34"/>
  <c r="AN22" i="34"/>
  <c r="AF21" i="34"/>
  <c r="AF22" i="34"/>
  <c r="M22" i="34"/>
  <c r="M21" i="34"/>
  <c r="M17" i="34" s="1"/>
  <c r="O22" i="34"/>
  <c r="O21" i="34"/>
  <c r="W22" i="34"/>
  <c r="W21" i="34"/>
  <c r="N22" i="34"/>
  <c r="N21" i="34"/>
  <c r="U22" i="34"/>
  <c r="U21" i="34"/>
  <c r="U17" i="34" s="1"/>
  <c r="L22" i="34"/>
  <c r="L21" i="34"/>
  <c r="L17" i="34" s="1"/>
  <c r="S22" i="34"/>
  <c r="S21" i="34"/>
  <c r="T22" i="34"/>
  <c r="T21" i="34"/>
  <c r="K22" i="34"/>
  <c r="K21" i="34"/>
  <c r="K17" i="34" s="1"/>
  <c r="K15" i="34" s="1"/>
  <c r="K6" i="37" s="1"/>
  <c r="J22" i="34"/>
  <c r="J21" i="34"/>
  <c r="J17" i="34" s="1"/>
  <c r="J15" i="34" s="1"/>
  <c r="Z22" i="34"/>
  <c r="Z21" i="34"/>
  <c r="R22" i="34"/>
  <c r="R21" i="34"/>
  <c r="Y22" i="34"/>
  <c r="Y21" i="34"/>
  <c r="Y17" i="34" s="1"/>
  <c r="Q22" i="34"/>
  <c r="Q21" i="34"/>
  <c r="Q17" i="34" s="1"/>
  <c r="X22" i="34"/>
  <c r="X21" i="34"/>
  <c r="P22" i="34"/>
  <c r="P21" i="34"/>
  <c r="J13" i="34"/>
  <c r="K12" i="34" s="1"/>
  <c r="K13" i="34" s="1"/>
  <c r="L12" i="34" s="1"/>
  <c r="L13" i="34" s="1"/>
  <c r="M12" i="34" s="1"/>
  <c r="M13" i="34" s="1"/>
  <c r="N12" i="34" s="1"/>
  <c r="N13" i="34" s="1"/>
  <c r="O12" i="34" s="1"/>
  <c r="O13" i="34" s="1"/>
  <c r="P12" i="34" s="1"/>
  <c r="P13" i="34" s="1"/>
  <c r="Q12" i="34" s="1"/>
  <c r="Q13" i="34" s="1"/>
  <c r="R12" i="34" s="1"/>
  <c r="R13" i="34" s="1"/>
  <c r="S12" i="34" s="1"/>
  <c r="S13" i="34" s="1"/>
  <c r="C10" i="41"/>
  <c r="D4" i="41" s="1"/>
  <c r="AG17" i="34" l="1"/>
  <c r="AI17" i="34"/>
  <c r="AR17" i="34"/>
  <c r="AD17" i="34"/>
  <c r="AF17" i="34"/>
  <c r="AN17" i="34"/>
  <c r="AQ17" i="34"/>
  <c r="AO17" i="34"/>
  <c r="AL17" i="34"/>
  <c r="AC17" i="34"/>
  <c r="J6" i="37"/>
  <c r="AA17" i="34"/>
  <c r="AV17" i="34"/>
  <c r="AJ17" i="34"/>
  <c r="P17" i="34"/>
  <c r="R17" i="34"/>
  <c r="T17" i="34"/>
  <c r="N17" i="34"/>
  <c r="AP17" i="34"/>
  <c r="AM17" i="34"/>
  <c r="X17" i="34"/>
  <c r="Z17" i="34"/>
  <c r="S17" i="34"/>
  <c r="W17" i="34"/>
  <c r="V17" i="34"/>
  <c r="AS17" i="34"/>
  <c r="AE17" i="34"/>
  <c r="T12" i="34"/>
  <c r="T13" i="34" s="1"/>
  <c r="O17" i="34"/>
  <c r="AH17" i="34"/>
  <c r="AT17" i="34"/>
  <c r="AW17" i="34"/>
  <c r="AB17" i="34"/>
  <c r="AK17" i="34"/>
  <c r="AU17" i="34"/>
  <c r="L4" i="34"/>
  <c r="L16" i="34" s="1"/>
  <c r="L15" i="34" s="1"/>
  <c r="L6" i="37" s="1"/>
  <c r="N4" i="34"/>
  <c r="N16" i="34" s="1"/>
  <c r="O4" i="34"/>
  <c r="O16" i="34" s="1"/>
  <c r="M4" i="34"/>
  <c r="M16" i="34" s="1"/>
  <c r="P4" i="34"/>
  <c r="P16" i="34" s="1"/>
  <c r="Q4" i="34"/>
  <c r="Q16" i="34" s="1"/>
  <c r="R4" i="34"/>
  <c r="R16" i="34" s="1"/>
  <c r="S4" i="34"/>
  <c r="S16" i="34" s="1"/>
  <c r="T4" i="34"/>
  <c r="T16" i="34" s="1"/>
  <c r="U4" i="34"/>
  <c r="U16" i="34" s="1"/>
  <c r="V4" i="34"/>
  <c r="V16" i="34" s="1"/>
  <c r="W4" i="34"/>
  <c r="W16" i="34" s="1"/>
  <c r="X4" i="34"/>
  <c r="S5" i="34"/>
  <c r="K4" i="37"/>
  <c r="U12" i="34" l="1"/>
  <c r="U13" i="34" s="1"/>
  <c r="V12" i="34" s="1"/>
  <c r="V13" i="34" s="1"/>
  <c r="W12" i="34" s="1"/>
  <c r="W13" i="34" s="1"/>
  <c r="Q15" i="34"/>
  <c r="Q6" i="37" s="1"/>
  <c r="P15" i="34"/>
  <c r="P6" i="37" s="1"/>
  <c r="S15" i="34"/>
  <c r="S6" i="37" s="1"/>
  <c r="W15" i="34"/>
  <c r="W6" i="37" s="1"/>
  <c r="U15" i="34"/>
  <c r="U6" i="37" s="1"/>
  <c r="R15" i="34"/>
  <c r="R6" i="37" s="1"/>
  <c r="V15" i="34"/>
  <c r="V6" i="37" s="1"/>
  <c r="O15" i="34"/>
  <c r="O6" i="37" s="1"/>
  <c r="N15" i="34"/>
  <c r="T15" i="34"/>
  <c r="T6" i="37" s="1"/>
  <c r="M15" i="34"/>
  <c r="O4" i="37"/>
  <c r="N4" i="37"/>
  <c r="L4" i="37"/>
  <c r="P4" i="37"/>
  <c r="M4" i="37"/>
  <c r="X16" i="34"/>
  <c r="T5" i="34"/>
  <c r="Y4" i="34"/>
  <c r="J4" i="37"/>
  <c r="B3" i="35"/>
  <c r="Q4" i="37"/>
  <c r="M6" i="37" l="1"/>
  <c r="B5" i="35"/>
  <c r="N6" i="37"/>
  <c r="X15" i="34"/>
  <c r="X6" i="37" s="1"/>
  <c r="X12" i="34"/>
  <c r="X13" i="34" s="1"/>
  <c r="Y16" i="34"/>
  <c r="Y15" i="34" s="1"/>
  <c r="Y6" i="37" s="1"/>
  <c r="U5" i="34"/>
  <c r="Z4" i="34"/>
  <c r="R4" i="37"/>
  <c r="C5" i="35" l="1"/>
  <c r="Y12" i="34"/>
  <c r="Y13" i="34" s="1"/>
  <c r="Z16" i="34"/>
  <c r="V5" i="34"/>
  <c r="AA4" i="34"/>
  <c r="S4" i="37"/>
  <c r="Z15" i="34" l="1"/>
  <c r="Z6" i="37" s="1"/>
  <c r="Z12" i="34"/>
  <c r="Z13" i="34" s="1"/>
  <c r="AA16" i="34"/>
  <c r="AB4" i="34"/>
  <c r="W5" i="34"/>
  <c r="T4" i="37"/>
  <c r="AA15" i="34" l="1"/>
  <c r="AA6" i="37" s="1"/>
  <c r="AA12" i="34"/>
  <c r="AA13" i="34" s="1"/>
  <c r="AB16" i="34"/>
  <c r="X5" i="34"/>
  <c r="AC4" i="34"/>
  <c r="U4" i="37"/>
  <c r="AD16" i="36"/>
  <c r="Z64" i="34" s="1"/>
  <c r="D8" i="36"/>
  <c r="L39" i="34"/>
  <c r="D9" i="36"/>
  <c r="E21" i="37"/>
  <c r="C21" i="37"/>
  <c r="B23" i="37"/>
  <c r="B21" i="37"/>
  <c r="D21" i="37"/>
  <c r="F21" i="37"/>
  <c r="G21" i="37"/>
  <c r="H21" i="37"/>
  <c r="I21" i="37"/>
  <c r="J21" i="37"/>
  <c r="K21" i="37"/>
  <c r="L21" i="37"/>
  <c r="M21" i="37"/>
  <c r="N21" i="37"/>
  <c r="O21" i="37"/>
  <c r="P21" i="37"/>
  <c r="Q21" i="37"/>
  <c r="R21" i="37"/>
  <c r="S21" i="37"/>
  <c r="T21" i="37"/>
  <c r="U21" i="37"/>
  <c r="V21" i="37"/>
  <c r="W21" i="37"/>
  <c r="X21" i="37"/>
  <c r="Y21" i="37"/>
  <c r="Z21" i="37"/>
  <c r="AA21" i="37"/>
  <c r="AB21" i="37"/>
  <c r="AC21" i="37"/>
  <c r="AD21" i="37"/>
  <c r="AE21" i="37"/>
  <c r="AF21" i="37"/>
  <c r="AG21" i="37"/>
  <c r="AH21" i="37"/>
  <c r="AI21" i="37"/>
  <c r="AJ21" i="37"/>
  <c r="AK21" i="37"/>
  <c r="AL21" i="37"/>
  <c r="AM21" i="37"/>
  <c r="AN21" i="37"/>
  <c r="AO21" i="37"/>
  <c r="AP21" i="37"/>
  <c r="AQ21" i="37"/>
  <c r="AR21" i="37"/>
  <c r="AS21" i="37"/>
  <c r="AT21" i="37"/>
  <c r="AU21" i="37"/>
  <c r="AV21" i="37"/>
  <c r="AW21" i="37"/>
  <c r="AX21" i="37"/>
  <c r="AY21" i="37"/>
  <c r="AZ21" i="37"/>
  <c r="BA21" i="37"/>
  <c r="BB21" i="37"/>
  <c r="BC21" i="37"/>
  <c r="BD21" i="37"/>
  <c r="BE21" i="37"/>
  <c r="BF21" i="37"/>
  <c r="BG21" i="37"/>
  <c r="BH21" i="37"/>
  <c r="BI21" i="37"/>
  <c r="G3" i="36"/>
  <c r="H3" i="36" s="1"/>
  <c r="I3" i="36" s="1"/>
  <c r="J3" i="36" s="1"/>
  <c r="K3" i="36" s="1"/>
  <c r="L3" i="36" s="1"/>
  <c r="M3" i="36" s="1"/>
  <c r="N3" i="36" s="1"/>
  <c r="O3" i="36" s="1"/>
  <c r="P3" i="36" s="1"/>
  <c r="Q3" i="36" s="1"/>
  <c r="R3" i="36" s="1"/>
  <c r="S3" i="36" s="1"/>
  <c r="T3" i="36" s="1"/>
  <c r="U3" i="36" s="1"/>
  <c r="V3" i="36" s="1"/>
  <c r="W3" i="36" s="1"/>
  <c r="X3" i="36" s="1"/>
  <c r="Y3" i="36" s="1"/>
  <c r="Z3" i="36" s="1"/>
  <c r="AA3" i="36" s="1"/>
  <c r="AB3" i="36" s="1"/>
  <c r="AC3" i="36" s="1"/>
  <c r="AD3" i="36" s="1"/>
  <c r="AE3" i="36" s="1"/>
  <c r="AF3" i="36" s="1"/>
  <c r="AG3" i="36" s="1"/>
  <c r="AH3" i="36" s="1"/>
  <c r="AI3" i="36" s="1"/>
  <c r="AJ3" i="36" s="1"/>
  <c r="AK3" i="36" s="1"/>
  <c r="AL3" i="36" s="1"/>
  <c r="AM3" i="36" s="1"/>
  <c r="AN3" i="36" s="1"/>
  <c r="AO3" i="36" s="1"/>
  <c r="AP3" i="36" s="1"/>
  <c r="AQ3" i="36" s="1"/>
  <c r="AR3" i="36" s="1"/>
  <c r="AS3" i="36" s="1"/>
  <c r="AT3" i="36" s="1"/>
  <c r="AU3" i="36" s="1"/>
  <c r="AV3" i="36" s="1"/>
  <c r="AW3" i="36" s="1"/>
  <c r="AX3" i="36" s="1"/>
  <c r="AY3" i="36" s="1"/>
  <c r="AZ3" i="36" s="1"/>
  <c r="BA3" i="36" s="1"/>
  <c r="C3" i="34"/>
  <c r="D3" i="34" s="1"/>
  <c r="E3" i="34" s="1"/>
  <c r="F3" i="34" s="1"/>
  <c r="G3" i="34" s="1"/>
  <c r="H3" i="34" s="1"/>
  <c r="I3" i="34" s="1"/>
  <c r="J3" i="34" s="1"/>
  <c r="K3" i="34" s="1"/>
  <c r="L3" i="34" s="1"/>
  <c r="M3" i="34" s="1"/>
  <c r="N3" i="34" s="1"/>
  <c r="O3" i="34" s="1"/>
  <c r="P3" i="34" s="1"/>
  <c r="Q3" i="34" s="1"/>
  <c r="R3" i="34" s="1"/>
  <c r="S3" i="34" s="1"/>
  <c r="T3" i="34" s="1"/>
  <c r="U3" i="34" s="1"/>
  <c r="V3" i="34" s="1"/>
  <c r="W3" i="34" s="1"/>
  <c r="X3" i="34" s="1"/>
  <c r="Y3" i="34" s="1"/>
  <c r="Z3" i="34" s="1"/>
  <c r="AA3" i="34" s="1"/>
  <c r="AB3" i="34" s="1"/>
  <c r="AC3" i="34" s="1"/>
  <c r="AD3" i="34" s="1"/>
  <c r="AE3" i="34" s="1"/>
  <c r="AF3" i="34" s="1"/>
  <c r="AG3" i="34" s="1"/>
  <c r="AH3" i="34" s="1"/>
  <c r="AI3" i="34" s="1"/>
  <c r="AJ3" i="34" s="1"/>
  <c r="AK3" i="34" s="1"/>
  <c r="AL3" i="34" s="1"/>
  <c r="AM3" i="34" s="1"/>
  <c r="AN3" i="34" s="1"/>
  <c r="AO3" i="34" s="1"/>
  <c r="AP3" i="34" s="1"/>
  <c r="AQ3" i="34" s="1"/>
  <c r="AR3" i="34" s="1"/>
  <c r="AS3" i="34" s="1"/>
  <c r="AT3" i="34" s="1"/>
  <c r="AU3" i="34" s="1"/>
  <c r="AV3" i="34" s="1"/>
  <c r="AW3" i="34" s="1"/>
  <c r="BG23" i="37"/>
  <c r="AY23" i="37"/>
  <c r="AX23" i="37"/>
  <c r="BA23" i="37"/>
  <c r="BD23" i="37"/>
  <c r="BC23" i="37"/>
  <c r="BF23" i="37"/>
  <c r="BB23" i="37"/>
  <c r="BH23" i="37"/>
  <c r="BE23" i="37"/>
  <c r="AZ23" i="37"/>
  <c r="BI23" i="37"/>
  <c r="K39" i="34"/>
  <c r="AV39" i="34"/>
  <c r="AM39" i="34"/>
  <c r="G66" i="34"/>
  <c r="AT39" i="34"/>
  <c r="M39" i="34"/>
  <c r="F66" i="34"/>
  <c r="AK39" i="34"/>
  <c r="F39" i="34"/>
  <c r="AH39" i="34"/>
  <c r="AA39" i="34"/>
  <c r="S39" i="34"/>
  <c r="O39" i="34"/>
  <c r="E66" i="34"/>
  <c r="AB39" i="34"/>
  <c r="Y39" i="34"/>
  <c r="V39" i="34"/>
  <c r="AJ39" i="34"/>
  <c r="AL39" i="34"/>
  <c r="AN39" i="34"/>
  <c r="AC39" i="34"/>
  <c r="W39" i="34"/>
  <c r="AO39" i="34"/>
  <c r="AE39" i="34"/>
  <c r="U39" i="34"/>
  <c r="T39" i="34"/>
  <c r="Q39" i="34"/>
  <c r="AQ39" i="34"/>
  <c r="AD39" i="34"/>
  <c r="R39" i="34"/>
  <c r="E39" i="34"/>
  <c r="E51" i="34" s="1"/>
  <c r="I39" i="34"/>
  <c r="AR39" i="34"/>
  <c r="AP39" i="34"/>
  <c r="AF39" i="34"/>
  <c r="X39" i="34"/>
  <c r="P39" i="34"/>
  <c r="AW39" i="34"/>
  <c r="AU39" i="34"/>
  <c r="AS39" i="34"/>
  <c r="Z39" i="34"/>
  <c r="J39" i="34"/>
  <c r="AI39" i="34"/>
  <c r="AG39" i="34"/>
  <c r="N39" i="34"/>
  <c r="G39" i="34"/>
  <c r="H39" i="34"/>
  <c r="C4" i="37"/>
  <c r="C14" i="37" s="1"/>
  <c r="B4" i="37"/>
  <c r="B14" i="37" s="1"/>
  <c r="B2" i="35"/>
  <c r="D4" i="37"/>
  <c r="D14" i="37" s="1"/>
  <c r="F4" i="37"/>
  <c r="E4" i="37"/>
  <c r="F51" i="34" l="1"/>
  <c r="F9" i="37"/>
  <c r="I51" i="34"/>
  <c r="J51" i="34"/>
  <c r="G9" i="37"/>
  <c r="G51" i="34"/>
  <c r="E9" i="37"/>
  <c r="H51" i="34"/>
  <c r="AC51" i="34"/>
  <c r="AA51" i="34"/>
  <c r="Z51" i="34"/>
  <c r="W51" i="34"/>
  <c r="M51" i="34"/>
  <c r="L51" i="34"/>
  <c r="N51" i="34"/>
  <c r="P51" i="34"/>
  <c r="O51" i="34"/>
  <c r="R51" i="34"/>
  <c r="Q51" i="34"/>
  <c r="T51" i="34"/>
  <c r="S51" i="34"/>
  <c r="U51" i="34"/>
  <c r="V51" i="34"/>
  <c r="X51" i="34"/>
  <c r="Y51" i="34"/>
  <c r="K51" i="34"/>
  <c r="B18" i="37"/>
  <c r="B17" i="37" s="1"/>
  <c r="C18" i="37"/>
  <c r="C17" i="37" s="1"/>
  <c r="D18" i="37"/>
  <c r="D17" i="37" s="1"/>
  <c r="AB15" i="34"/>
  <c r="AB51" i="34" s="1"/>
  <c r="AB12" i="34"/>
  <c r="AB13" i="34" s="1"/>
  <c r="BD34" i="37"/>
  <c r="BA34" i="37"/>
  <c r="BE34" i="37"/>
  <c r="AC16" i="34"/>
  <c r="AC15" i="34" s="1"/>
  <c r="AC6" i="37" s="1"/>
  <c r="BF34" i="37"/>
  <c r="Y5" i="34"/>
  <c r="AD4" i="34"/>
  <c r="B9" i="35"/>
  <c r="BH34" i="37"/>
  <c r="AX34" i="37"/>
  <c r="AZ34" i="37"/>
  <c r="BB34" i="37"/>
  <c r="BC34" i="37"/>
  <c r="BI34" i="37"/>
  <c r="AY34" i="37"/>
  <c r="BG34" i="37"/>
  <c r="E9" i="36"/>
  <c r="E8" i="36"/>
  <c r="X9" i="36" s="1"/>
  <c r="T57" i="34" s="1"/>
  <c r="V4" i="37"/>
  <c r="I53" i="34"/>
  <c r="I10" i="37" s="1"/>
  <c r="G53" i="34"/>
  <c r="G10" i="37" s="1"/>
  <c r="F53" i="34"/>
  <c r="F10" i="37" s="1"/>
  <c r="T8" i="36"/>
  <c r="P56" i="34" s="1"/>
  <c r="P53" i="34" s="1"/>
  <c r="P10" i="37" s="1"/>
  <c r="V8" i="36"/>
  <c r="R56" i="34" s="1"/>
  <c r="AC11" i="36"/>
  <c r="Y59" i="34" s="1"/>
  <c r="Q8" i="36"/>
  <c r="M56" i="34" s="1"/>
  <c r="M53" i="34" s="1"/>
  <c r="M10" i="37" s="1"/>
  <c r="AB8" i="36"/>
  <c r="X56" i="34" s="1"/>
  <c r="W8" i="36"/>
  <c r="S56" i="34" s="1"/>
  <c r="J18" i="36"/>
  <c r="Z9" i="36"/>
  <c r="V57" i="34" s="1"/>
  <c r="R8" i="36"/>
  <c r="AA10" i="36"/>
  <c r="W58" i="34" s="1"/>
  <c r="K53" i="34"/>
  <c r="K10" i="37" s="1"/>
  <c r="AC10" i="36"/>
  <c r="Y58" i="34" s="1"/>
  <c r="Z8" i="36"/>
  <c r="V56" i="34" s="1"/>
  <c r="J53" i="34"/>
  <c r="J10" i="37" s="1"/>
  <c r="H53" i="34"/>
  <c r="H10" i="37" s="1"/>
  <c r="E53" i="34"/>
  <c r="E10" i="37" s="1"/>
  <c r="E9" i="35"/>
  <c r="D9" i="35"/>
  <c r="C9" i="35"/>
  <c r="AB6" i="37" l="1"/>
  <c r="AC12" i="34"/>
  <c r="AC13" i="34" s="1"/>
  <c r="E77" i="34"/>
  <c r="AA9" i="36"/>
  <c r="W57" i="34" s="1"/>
  <c r="S8" i="36"/>
  <c r="Y9" i="36"/>
  <c r="U57" i="34" s="1"/>
  <c r="AB9" i="36"/>
  <c r="X57" i="34" s="1"/>
  <c r="AB10" i="36"/>
  <c r="X58" i="34" s="1"/>
  <c r="Y8" i="36"/>
  <c r="U56" i="34" s="1"/>
  <c r="P8" i="36"/>
  <c r="L56" i="34" s="1"/>
  <c r="L53" i="34" s="1"/>
  <c r="L10" i="37" s="1"/>
  <c r="Y10" i="36"/>
  <c r="U58" i="34" s="1"/>
  <c r="AA11" i="36"/>
  <c r="W59" i="34" s="1"/>
  <c r="AC9" i="36"/>
  <c r="Y57" i="34" s="1"/>
  <c r="X8" i="36"/>
  <c r="T56" i="34" s="1"/>
  <c r="AA8" i="36"/>
  <c r="W56" i="34" s="1"/>
  <c r="AC8" i="36"/>
  <c r="Y56" i="34" s="1"/>
  <c r="R6" i="36"/>
  <c r="N54" i="34" s="1"/>
  <c r="Z10" i="36"/>
  <c r="V58" i="34" s="1"/>
  <c r="U8" i="36"/>
  <c r="Q56" i="34" s="1"/>
  <c r="Q53" i="34" s="1"/>
  <c r="Q10" i="37" s="1"/>
  <c r="G8" i="37"/>
  <c r="G14" i="37" s="1"/>
  <c r="E8" i="37"/>
  <c r="E14" i="37" s="1"/>
  <c r="F8" i="37"/>
  <c r="F14" i="37" s="1"/>
  <c r="AD16" i="34"/>
  <c r="AE4" i="34"/>
  <c r="Z5" i="34"/>
  <c r="X10" i="36"/>
  <c r="T58" i="34" s="1"/>
  <c r="AB11" i="36"/>
  <c r="X59" i="34" s="1"/>
  <c r="H66" i="34"/>
  <c r="H9" i="37" s="1"/>
  <c r="I66" i="34"/>
  <c r="N56" i="34"/>
  <c r="O56" i="34"/>
  <c r="O53" i="34" s="1"/>
  <c r="O10" i="37" s="1"/>
  <c r="AD13" i="36"/>
  <c r="Z61" i="34" s="1"/>
  <c r="AL13" i="36"/>
  <c r="AH61" i="34" s="1"/>
  <c r="AE12" i="36"/>
  <c r="AM12" i="36"/>
  <c r="Y11" i="36"/>
  <c r="U59" i="34" s="1"/>
  <c r="AE13" i="36"/>
  <c r="AA61" i="34" s="1"/>
  <c r="AM13" i="36"/>
  <c r="AI61" i="34" s="1"/>
  <c r="AF12" i="36"/>
  <c r="AN12" i="36"/>
  <c r="Z11" i="36"/>
  <c r="V59" i="34" s="1"/>
  <c r="Z13" i="36"/>
  <c r="V61" i="34" s="1"/>
  <c r="AI12" i="36"/>
  <c r="AL12" i="36"/>
  <c r="AF13" i="36"/>
  <c r="AB61" i="34" s="1"/>
  <c r="AN13" i="36"/>
  <c r="AJ61" i="34" s="1"/>
  <c r="AG12" i="36"/>
  <c r="AO12" i="36"/>
  <c r="AH13" i="36"/>
  <c r="AD61" i="34" s="1"/>
  <c r="AC13" i="36"/>
  <c r="Y61" i="34" s="1"/>
  <c r="AG13" i="36"/>
  <c r="AC61" i="34" s="1"/>
  <c r="AO13" i="36"/>
  <c r="AH12" i="36"/>
  <c r="Z12" i="36"/>
  <c r="V60" i="34" s="1"/>
  <c r="AA12" i="36"/>
  <c r="W60" i="34" s="1"/>
  <c r="AD12" i="36"/>
  <c r="Z60" i="34" s="1"/>
  <c r="AA13" i="36"/>
  <c r="W61" i="34" s="1"/>
  <c r="AI13" i="36"/>
  <c r="AE61" i="34" s="1"/>
  <c r="AB12" i="36"/>
  <c r="X60" i="34" s="1"/>
  <c r="AJ12" i="36"/>
  <c r="AF60" i="34" s="1"/>
  <c r="R53" i="34"/>
  <c r="R10" i="37" s="1"/>
  <c r="AB13" i="36"/>
  <c r="X61" i="34" s="1"/>
  <c r="AJ13" i="36"/>
  <c r="AK12" i="36"/>
  <c r="S53" i="34"/>
  <c r="S10" i="37" s="1"/>
  <c r="AK13" i="36"/>
  <c r="AG61" i="34" s="1"/>
  <c r="X11" i="36"/>
  <c r="T59" i="34" s="1"/>
  <c r="AC12" i="36"/>
  <c r="Y60" i="34" s="1"/>
  <c r="V18" i="36"/>
  <c r="M18" i="36"/>
  <c r="K18" i="36"/>
  <c r="L18" i="36"/>
  <c r="Q18" i="36"/>
  <c r="P18" i="36"/>
  <c r="N18" i="36"/>
  <c r="S18" i="36"/>
  <c r="T18" i="36"/>
  <c r="O18" i="36"/>
  <c r="G77" i="34"/>
  <c r="W4" i="37"/>
  <c r="F77" i="34"/>
  <c r="AD11" i="36"/>
  <c r="Z59" i="34" s="1"/>
  <c r="AD10" i="36"/>
  <c r="Z58" i="34" s="1"/>
  <c r="B16" i="35"/>
  <c r="AD9" i="36"/>
  <c r="Z57" i="34" s="1"/>
  <c r="F9" i="35"/>
  <c r="I9" i="37" l="1"/>
  <c r="I8" i="37" s="1"/>
  <c r="I14" i="37" s="1"/>
  <c r="I18" i="37" s="1"/>
  <c r="I17" i="37" s="1"/>
  <c r="G18" i="37"/>
  <c r="G17" i="37" s="1"/>
  <c r="F18" i="37"/>
  <c r="F17" i="37" s="1"/>
  <c r="F34" i="37" s="1"/>
  <c r="E18" i="37"/>
  <c r="E17" i="37" s="1"/>
  <c r="E34" i="37" s="1"/>
  <c r="AD15" i="34"/>
  <c r="AD12" i="34"/>
  <c r="AD13" i="34" s="1"/>
  <c r="N53" i="34"/>
  <c r="N10" i="37" s="1"/>
  <c r="R18" i="36"/>
  <c r="AD8" i="36"/>
  <c r="Z56" i="34" s="1"/>
  <c r="U53" i="34"/>
  <c r="U10" i="37" s="1"/>
  <c r="AE16" i="34"/>
  <c r="AF4" i="34"/>
  <c r="AA5" i="34"/>
  <c r="T53" i="34"/>
  <c r="T10" i="37" s="1"/>
  <c r="U18" i="36"/>
  <c r="Z18" i="36"/>
  <c r="B34" i="37"/>
  <c r="B36" i="37" s="1"/>
  <c r="C35" i="37" s="1"/>
  <c r="H8" i="37"/>
  <c r="H14" i="37" s="1"/>
  <c r="W53" i="34"/>
  <c r="W10" i="37" s="1"/>
  <c r="I77" i="34"/>
  <c r="H77" i="34"/>
  <c r="D34" i="37"/>
  <c r="K66" i="34"/>
  <c r="J66" i="34"/>
  <c r="X53" i="34"/>
  <c r="X10" i="37" s="1"/>
  <c r="Y18" i="36"/>
  <c r="X18" i="36"/>
  <c r="Y53" i="34"/>
  <c r="Y10" i="37" s="1"/>
  <c r="V53" i="34"/>
  <c r="V10" i="37" s="1"/>
  <c r="AA18" i="36"/>
  <c r="AG60" i="34"/>
  <c r="AG53" i="34" s="1"/>
  <c r="AK18" i="36"/>
  <c r="AG18" i="36"/>
  <c r="AC60" i="34"/>
  <c r="AC53" i="34" s="1"/>
  <c r="AC10" i="37" s="1"/>
  <c r="AF18" i="36"/>
  <c r="AB60" i="34"/>
  <c r="AB53" i="34" s="1"/>
  <c r="AB10" i="37" s="1"/>
  <c r="AC18" i="36"/>
  <c r="W18" i="36"/>
  <c r="AU12" i="36"/>
  <c r="AQ60" i="34" s="1"/>
  <c r="AW12" i="36"/>
  <c r="BA12" i="36"/>
  <c r="AK60" i="34"/>
  <c r="AV12" i="36"/>
  <c r="AS12" i="36"/>
  <c r="AO60" i="34" s="1"/>
  <c r="AT12" i="36"/>
  <c r="AP60" i="34" s="1"/>
  <c r="AO18" i="36"/>
  <c r="AZ12" i="36"/>
  <c r="AP12" i="36"/>
  <c r="AR12" i="36"/>
  <c r="AX12" i="36"/>
  <c r="AT60" i="34" s="1"/>
  <c r="AQ12" i="36"/>
  <c r="AY12" i="36"/>
  <c r="AU60" i="34" s="1"/>
  <c r="AH18" i="36"/>
  <c r="AD60" i="34"/>
  <c r="AD53" i="34" s="1"/>
  <c r="AD10" i="37" s="1"/>
  <c r="AJ18" i="36"/>
  <c r="AF61" i="34"/>
  <c r="AF53" i="34" s="1"/>
  <c r="AF10" i="37" s="1"/>
  <c r="AN18" i="36"/>
  <c r="AJ60" i="34"/>
  <c r="AJ53" i="34" s="1"/>
  <c r="AR13" i="36"/>
  <c r="AN61" i="34" s="1"/>
  <c r="AQ13" i="36"/>
  <c r="AM61" i="34" s="1"/>
  <c r="AK61" i="34"/>
  <c r="AY13" i="36"/>
  <c r="AU61" i="34" s="1"/>
  <c r="AW13" i="36"/>
  <c r="AS61" i="34" s="1"/>
  <c r="AU13" i="36"/>
  <c r="AQ61" i="34" s="1"/>
  <c r="AS13" i="36"/>
  <c r="AO61" i="34" s="1"/>
  <c r="AT13" i="36"/>
  <c r="AP61" i="34" s="1"/>
  <c r="AX13" i="36"/>
  <c r="AT61" i="34" s="1"/>
  <c r="AZ13" i="36"/>
  <c r="AV61" i="34" s="1"/>
  <c r="AP13" i="36"/>
  <c r="AL61" i="34" s="1"/>
  <c r="AV13" i="36"/>
  <c r="AR61" i="34" s="1"/>
  <c r="BA13" i="36"/>
  <c r="AW61" i="34" s="1"/>
  <c r="AL18" i="36"/>
  <c r="AH60" i="34"/>
  <c r="AH53" i="34" s="1"/>
  <c r="AH10" i="37" s="1"/>
  <c r="AB18" i="36"/>
  <c r="AI18" i="36"/>
  <c r="AE60" i="34"/>
  <c r="AE53" i="34" s="1"/>
  <c r="AE10" i="37" s="1"/>
  <c r="AI60" i="34"/>
  <c r="AI53" i="34" s="1"/>
  <c r="AI10" i="37" s="1"/>
  <c r="AM18" i="36"/>
  <c r="AE18" i="36"/>
  <c r="AA60" i="34"/>
  <c r="AA53" i="34" s="1"/>
  <c r="AA10" i="37" s="1"/>
  <c r="AD18" i="36"/>
  <c r="Z53" i="34"/>
  <c r="Z10" i="37" s="1"/>
  <c r="X4" i="37"/>
  <c r="J9" i="37" l="1"/>
  <c r="J8" i="37" s="1"/>
  <c r="J14" i="37" s="1"/>
  <c r="J18" i="37" s="1"/>
  <c r="J17" i="37" s="1"/>
  <c r="K9" i="37"/>
  <c r="K8" i="37" s="1"/>
  <c r="K14" i="37" s="1"/>
  <c r="K18" i="37" s="1"/>
  <c r="K17" i="37" s="1"/>
  <c r="AD6" i="37"/>
  <c r="AD51" i="34"/>
  <c r="H18" i="37"/>
  <c r="H17" i="37" s="1"/>
  <c r="AE15" i="34"/>
  <c r="AE12" i="34"/>
  <c r="AE13" i="34" s="1"/>
  <c r="AF16" i="34"/>
  <c r="AB5" i="34"/>
  <c r="AG4" i="34"/>
  <c r="AU53" i="34"/>
  <c r="AU10" i="37" s="1"/>
  <c r="AP53" i="34"/>
  <c r="AP10" i="37" s="1"/>
  <c r="AP18" i="36"/>
  <c r="AL60" i="34"/>
  <c r="AL53" i="34" s="1"/>
  <c r="AL10" i="37" s="1"/>
  <c r="AO53" i="34"/>
  <c r="AO10" i="37" s="1"/>
  <c r="AW18" i="36"/>
  <c r="AS60" i="34"/>
  <c r="AS53" i="34" s="1"/>
  <c r="AS10" i="37" s="1"/>
  <c r="AQ18" i="36"/>
  <c r="AM60" i="34"/>
  <c r="AM53" i="34" s="1"/>
  <c r="AM10" i="37" s="1"/>
  <c r="AZ18" i="36"/>
  <c r="AV60" i="34"/>
  <c r="AV53" i="34" s="1"/>
  <c r="AV10" i="37" s="1"/>
  <c r="AV18" i="36"/>
  <c r="AR60" i="34"/>
  <c r="AR53" i="34" s="1"/>
  <c r="AR10" i="37" s="1"/>
  <c r="AQ53" i="34"/>
  <c r="AQ10" i="37" s="1"/>
  <c r="AT53" i="34"/>
  <c r="AT10" i="37" s="1"/>
  <c r="AR18" i="36"/>
  <c r="AN60" i="34"/>
  <c r="AN53" i="34" s="1"/>
  <c r="AN10" i="37" s="1"/>
  <c r="BA18" i="36"/>
  <c r="AW60" i="34"/>
  <c r="AW53" i="34" s="1"/>
  <c r="AW10" i="37" s="1"/>
  <c r="AJ10" i="37"/>
  <c r="AG10" i="37"/>
  <c r="C34" i="37"/>
  <c r="C36" i="37" s="1"/>
  <c r="D35" i="37" s="1"/>
  <c r="D36" i="37" s="1"/>
  <c r="E35" i="37" s="1"/>
  <c r="E36" i="37" s="1"/>
  <c r="F35" i="37" s="1"/>
  <c r="F36" i="37" s="1"/>
  <c r="G35" i="37" s="1"/>
  <c r="G34" i="37"/>
  <c r="J77" i="34"/>
  <c r="K77" i="34"/>
  <c r="L66" i="34"/>
  <c r="AX18" i="36"/>
  <c r="AU18" i="36"/>
  <c r="AK53" i="34"/>
  <c r="AK10" i="37" s="1"/>
  <c r="AT18" i="36"/>
  <c r="AY18" i="36"/>
  <c r="AS18" i="36"/>
  <c r="C16" i="35"/>
  <c r="Y4" i="37"/>
  <c r="L9" i="37" l="1"/>
  <c r="L8" i="37" s="1"/>
  <c r="L14" i="37" s="1"/>
  <c r="L18" i="37" s="1"/>
  <c r="L17" i="37" s="1"/>
  <c r="AE6" i="37"/>
  <c r="AE51" i="34"/>
  <c r="AF15" i="34"/>
  <c r="AF12" i="34"/>
  <c r="AF13" i="34" s="1"/>
  <c r="AG16" i="34"/>
  <c r="AC5" i="34"/>
  <c r="AH4" i="34"/>
  <c r="E16" i="35"/>
  <c r="D16" i="35"/>
  <c r="G36" i="37"/>
  <c r="H35" i="37" s="1"/>
  <c r="H34" i="37"/>
  <c r="I34" i="37"/>
  <c r="M66" i="34"/>
  <c r="M9" i="37" s="1"/>
  <c r="L77" i="34"/>
  <c r="Z4" i="37"/>
  <c r="C3" i="35"/>
  <c r="AF6" i="37" l="1"/>
  <c r="AF51" i="34"/>
  <c r="AG15" i="34"/>
  <c r="AG12" i="34"/>
  <c r="AG13" i="34" s="1"/>
  <c r="AH16" i="34"/>
  <c r="AH15" i="34" s="1"/>
  <c r="AD5" i="34"/>
  <c r="AI4" i="34"/>
  <c r="F16" i="35"/>
  <c r="M8" i="37"/>
  <c r="M14" i="37" s="1"/>
  <c r="B11" i="35"/>
  <c r="H36" i="37"/>
  <c r="I35" i="37" s="1"/>
  <c r="I36" i="37" s="1"/>
  <c r="J35" i="37" s="1"/>
  <c r="J34" i="37"/>
  <c r="N66" i="34"/>
  <c r="M77" i="34"/>
  <c r="AA4" i="37"/>
  <c r="C2" i="35"/>
  <c r="N9" i="37" l="1"/>
  <c r="N8" i="37" s="1"/>
  <c r="N14" i="37" s="1"/>
  <c r="N18" i="37" s="1"/>
  <c r="N17" i="37" s="1"/>
  <c r="AH6" i="37"/>
  <c r="AH51" i="34"/>
  <c r="AG6" i="37"/>
  <c r="AG51" i="34"/>
  <c r="M18" i="37"/>
  <c r="M17" i="37" s="1"/>
  <c r="AH12" i="34"/>
  <c r="AH13" i="34" s="1"/>
  <c r="AI16" i="34"/>
  <c r="AI15" i="34" s="1"/>
  <c r="AI6" i="37" s="1"/>
  <c r="AJ4" i="34"/>
  <c r="AE5" i="34"/>
  <c r="B13" i="35"/>
  <c r="B19" i="35" s="1"/>
  <c r="B23" i="35" s="1"/>
  <c r="B26" i="35" s="1"/>
  <c r="B31" i="35" s="1"/>
  <c r="C29" i="35" s="1"/>
  <c r="J36" i="37"/>
  <c r="K34" i="37"/>
  <c r="O66" i="34"/>
  <c r="N77" i="34"/>
  <c r="AB4" i="37"/>
  <c r="C17" i="35"/>
  <c r="C10" i="35"/>
  <c r="O9" i="37" l="1"/>
  <c r="O8" i="37" s="1"/>
  <c r="O14" i="37" s="1"/>
  <c r="O18" i="37" s="1"/>
  <c r="O17" i="37" s="1"/>
  <c r="AI51" i="34"/>
  <c r="AI12" i="34"/>
  <c r="AI13" i="34" s="1"/>
  <c r="AJ16" i="34"/>
  <c r="AF5" i="34"/>
  <c r="AK4" i="34"/>
  <c r="K35" i="37"/>
  <c r="K36" i="37" s="1"/>
  <c r="L35" i="37" s="1"/>
  <c r="O77" i="34"/>
  <c r="L34" i="37"/>
  <c r="P66" i="34"/>
  <c r="AC4" i="37"/>
  <c r="P9" i="37" l="1"/>
  <c r="P8" i="37" s="1"/>
  <c r="P14" i="37" s="1"/>
  <c r="P18" i="37" s="1"/>
  <c r="P17" i="37" s="1"/>
  <c r="AJ15" i="34"/>
  <c r="AJ12" i="34"/>
  <c r="AJ13" i="34" s="1"/>
  <c r="AK16" i="34"/>
  <c r="AG5" i="34"/>
  <c r="AL4" i="34"/>
  <c r="L36" i="37"/>
  <c r="Q66" i="34"/>
  <c r="Q9" i="37" s="1"/>
  <c r="M34" i="37"/>
  <c r="P77" i="34"/>
  <c r="N34" i="37"/>
  <c r="AD4" i="37"/>
  <c r="AJ6" i="37" l="1"/>
  <c r="AJ51" i="34"/>
  <c r="AK15" i="34"/>
  <c r="AK12" i="34"/>
  <c r="AK13" i="34" s="1"/>
  <c r="AL16" i="34"/>
  <c r="AM4" i="34"/>
  <c r="AH5" i="34"/>
  <c r="Q8" i="37"/>
  <c r="Q14" i="37" s="1"/>
  <c r="Q77" i="34"/>
  <c r="M35" i="37"/>
  <c r="M36" i="37" s="1"/>
  <c r="R66" i="34"/>
  <c r="O34" i="37"/>
  <c r="AE4" i="37"/>
  <c r="R9" i="37" l="1"/>
  <c r="R8" i="37" s="1"/>
  <c r="R14" i="37" s="1"/>
  <c r="R18" i="37" s="1"/>
  <c r="R17" i="37" s="1"/>
  <c r="AK6" i="37"/>
  <c r="AK51" i="34"/>
  <c r="D5" i="35"/>
  <c r="Q18" i="37"/>
  <c r="Q17" i="37" s="1"/>
  <c r="AL15" i="34"/>
  <c r="AL12" i="34"/>
  <c r="AL13" i="34" s="1"/>
  <c r="AM16" i="34"/>
  <c r="AN4" i="34"/>
  <c r="AI5" i="34"/>
  <c r="R77" i="34"/>
  <c r="N35" i="37"/>
  <c r="N36" i="37" s="1"/>
  <c r="O35" i="37" s="1"/>
  <c r="O36" i="37" s="1"/>
  <c r="P35" i="37" s="1"/>
  <c r="B38" i="37"/>
  <c r="S66" i="34"/>
  <c r="S9" i="37" s="1"/>
  <c r="P34" i="37"/>
  <c r="AF4" i="37"/>
  <c r="AL6" i="37" l="1"/>
  <c r="AL51" i="34"/>
  <c r="AM15" i="34"/>
  <c r="AM12" i="34"/>
  <c r="AM13" i="34" s="1"/>
  <c r="AN16" i="34"/>
  <c r="AJ5" i="34"/>
  <c r="AO4" i="34"/>
  <c r="S77" i="34"/>
  <c r="S8" i="37"/>
  <c r="S14" i="37" s="1"/>
  <c r="P36" i="37"/>
  <c r="Q35" i="37" s="1"/>
  <c r="T66" i="34"/>
  <c r="Q34" i="37"/>
  <c r="AG4" i="37"/>
  <c r="T9" i="37" l="1"/>
  <c r="T8" i="37" s="1"/>
  <c r="T14" i="37" s="1"/>
  <c r="T18" i="37" s="1"/>
  <c r="T17" i="37" s="1"/>
  <c r="AM6" i="37"/>
  <c r="AM51" i="34"/>
  <c r="S18" i="37"/>
  <c r="S17" i="37" s="1"/>
  <c r="AN15" i="34"/>
  <c r="AN12" i="34"/>
  <c r="AN13" i="34" s="1"/>
  <c r="AO16" i="34"/>
  <c r="AO15" i="34" s="1"/>
  <c r="AO6" i="37" s="1"/>
  <c r="AK5" i="34"/>
  <c r="AP4" i="34"/>
  <c r="T77" i="34"/>
  <c r="Q36" i="37"/>
  <c r="R35" i="37" s="1"/>
  <c r="U66" i="34"/>
  <c r="R34" i="37"/>
  <c r="AH4" i="37"/>
  <c r="U9" i="37" l="1"/>
  <c r="U8" i="37" s="1"/>
  <c r="U14" i="37" s="1"/>
  <c r="U18" i="37" s="1"/>
  <c r="U17" i="37" s="1"/>
  <c r="AN6" i="37"/>
  <c r="AN51" i="34"/>
  <c r="AO51" i="34"/>
  <c r="AO12" i="34"/>
  <c r="AO13" i="34" s="1"/>
  <c r="AP16" i="34"/>
  <c r="AL5" i="34"/>
  <c r="AQ4" i="34"/>
  <c r="U77" i="34"/>
  <c r="V66" i="34"/>
  <c r="R36" i="37"/>
  <c r="S35" i="37" s="1"/>
  <c r="AI4" i="37"/>
  <c r="V9" i="37" l="1"/>
  <c r="V8" i="37" s="1"/>
  <c r="V14" i="37" s="1"/>
  <c r="V18" i="37" s="1"/>
  <c r="V17" i="37" s="1"/>
  <c r="AP15" i="34"/>
  <c r="AP12" i="34"/>
  <c r="AP13" i="34" s="1"/>
  <c r="AQ16" i="34"/>
  <c r="AQ15" i="34" s="1"/>
  <c r="AQ6" i="37" s="1"/>
  <c r="AR4" i="34"/>
  <c r="AM5" i="34"/>
  <c r="W66" i="34"/>
  <c r="V77" i="34"/>
  <c r="AJ4" i="37"/>
  <c r="AQ51" i="34" l="1"/>
  <c r="W9" i="37"/>
  <c r="W8" i="37" s="1"/>
  <c r="W14" i="37" s="1"/>
  <c r="W18" i="37" s="1"/>
  <c r="W17" i="37" s="1"/>
  <c r="AP6" i="37"/>
  <c r="AP51" i="34"/>
  <c r="AQ12" i="34"/>
  <c r="AQ13" i="34" s="1"/>
  <c r="AR16" i="34"/>
  <c r="AR15" i="34" s="1"/>
  <c r="AR6" i="37" s="1"/>
  <c r="AN5" i="34"/>
  <c r="AS4" i="34"/>
  <c r="W77" i="34"/>
  <c r="T34" i="37"/>
  <c r="X66" i="34"/>
  <c r="X9" i="37" s="1"/>
  <c r="C8" i="35"/>
  <c r="AR51" i="34" l="1"/>
  <c r="AR12" i="34"/>
  <c r="AR13" i="34" s="1"/>
  <c r="AS16" i="34"/>
  <c r="AS15" i="34" s="1"/>
  <c r="AO5" i="34"/>
  <c r="AT4" i="34"/>
  <c r="D3" i="35"/>
  <c r="D2" i="35" s="1"/>
  <c r="AK4" i="37"/>
  <c r="X8" i="37"/>
  <c r="X14" i="37" s="1"/>
  <c r="Y66" i="34"/>
  <c r="X77" i="34"/>
  <c r="U34" i="37"/>
  <c r="AL4" i="37"/>
  <c r="Y9" i="37" l="1"/>
  <c r="Y8" i="37" s="1"/>
  <c r="Y14" i="37" s="1"/>
  <c r="Y18" i="37" s="1"/>
  <c r="Y17" i="37" s="1"/>
  <c r="AS6" i="37"/>
  <c r="AS51" i="34"/>
  <c r="X18" i="37"/>
  <c r="X17" i="37" s="1"/>
  <c r="AS12" i="34"/>
  <c r="AS13" i="34" s="1"/>
  <c r="AT16" i="34"/>
  <c r="AT15" i="34" s="1"/>
  <c r="AT6" i="37" s="1"/>
  <c r="AU4" i="34"/>
  <c r="AP5" i="34"/>
  <c r="AL66" i="34"/>
  <c r="AL9" i="37" s="1"/>
  <c r="Z66" i="34"/>
  <c r="Z9" i="37" s="1"/>
  <c r="V34" i="37"/>
  <c r="C11" i="35"/>
  <c r="C13" i="35" s="1"/>
  <c r="Y77" i="34"/>
  <c r="AM4" i="37"/>
  <c r="D10" i="35"/>
  <c r="D17" i="35"/>
  <c r="AT51" i="34" l="1"/>
  <c r="AT12" i="34"/>
  <c r="AT13" i="34" s="1"/>
  <c r="AU16" i="34"/>
  <c r="AV4" i="34"/>
  <c r="AQ5" i="34"/>
  <c r="AL77" i="34"/>
  <c r="W34" i="37"/>
  <c r="C12" i="35"/>
  <c r="Z77" i="34"/>
  <c r="AM66" i="34"/>
  <c r="AM9" i="37" s="1"/>
  <c r="AA66" i="34"/>
  <c r="AA9" i="37" s="1"/>
  <c r="AN4" i="37"/>
  <c r="AU15" i="34" l="1"/>
  <c r="AU12" i="34"/>
  <c r="AU13" i="34" s="1"/>
  <c r="AV16" i="34"/>
  <c r="AR5" i="34"/>
  <c r="AW4" i="34"/>
  <c r="AA77" i="34"/>
  <c r="AM77" i="34"/>
  <c r="X34" i="37"/>
  <c r="C19" i="35"/>
  <c r="C14" i="35"/>
  <c r="AN66" i="34"/>
  <c r="AN9" i="37" s="1"/>
  <c r="AB66" i="34"/>
  <c r="AB9" i="37" s="1"/>
  <c r="Y34" i="37"/>
  <c r="AO4" i="37"/>
  <c r="AU6" i="37" l="1"/>
  <c r="AU51" i="34"/>
  <c r="AV15" i="34"/>
  <c r="AV12" i="34"/>
  <c r="AV13" i="34" s="1"/>
  <c r="AW16" i="34"/>
  <c r="AW15" i="34" s="1"/>
  <c r="AS5" i="34"/>
  <c r="AO66" i="34"/>
  <c r="AO9" i="37" s="1"/>
  <c r="AC66" i="34"/>
  <c r="AC9" i="37" s="1"/>
  <c r="C20" i="35"/>
  <c r="C23" i="35"/>
  <c r="AB77" i="34"/>
  <c r="AP4" i="37"/>
  <c r="AN77" i="34"/>
  <c r="AW6" i="37" l="1"/>
  <c r="E5" i="35"/>
  <c r="AV6" i="37"/>
  <c r="AV51" i="34"/>
  <c r="AW51" i="34"/>
  <c r="AW12" i="34"/>
  <c r="AW13" i="34" s="1"/>
  <c r="AT5" i="34"/>
  <c r="AU5" i="34" s="1"/>
  <c r="AV5" i="34" s="1"/>
  <c r="AW5" i="34" s="1"/>
  <c r="AC77" i="34"/>
  <c r="C27" i="35"/>
  <c r="C26" i="35"/>
  <c r="C31" i="35" s="1"/>
  <c r="D29" i="35" s="1"/>
  <c r="AP66" i="34"/>
  <c r="AP9" i="37" s="1"/>
  <c r="AD66" i="34"/>
  <c r="AD9" i="37" s="1"/>
  <c r="AQ4" i="37"/>
  <c r="AO77" i="34"/>
  <c r="AQ66" i="34" l="1"/>
  <c r="AQ9" i="37" s="1"/>
  <c r="AE66" i="34"/>
  <c r="AE9" i="37" s="1"/>
  <c r="AD77" i="34"/>
  <c r="AR4" i="37"/>
  <c r="AP77" i="34"/>
  <c r="AE77" i="34" l="1"/>
  <c r="AR66" i="34"/>
  <c r="AR9" i="37" s="1"/>
  <c r="AF66" i="34"/>
  <c r="AF9" i="37" s="1"/>
  <c r="AS4" i="37"/>
  <c r="AQ77" i="34"/>
  <c r="AF77" i="34" l="1"/>
  <c r="AS66" i="34"/>
  <c r="AS9" i="37" s="1"/>
  <c r="AG66" i="34"/>
  <c r="AG9" i="37" s="1"/>
  <c r="AT4" i="37"/>
  <c r="AR77" i="34"/>
  <c r="AG77" i="34" l="1"/>
  <c r="AS77" i="34"/>
  <c r="AT66" i="34"/>
  <c r="AT9" i="37" s="1"/>
  <c r="AH66" i="34"/>
  <c r="AH9" i="37" s="1"/>
  <c r="AU4" i="37"/>
  <c r="AT77" i="34" l="1"/>
  <c r="AH77" i="34"/>
  <c r="AU66" i="34"/>
  <c r="AU9" i="37" s="1"/>
  <c r="AI66" i="34"/>
  <c r="AI9" i="37" s="1"/>
  <c r="AV4" i="37"/>
  <c r="AU77" i="34" l="1"/>
  <c r="AV66" i="34"/>
  <c r="AV9" i="37" s="1"/>
  <c r="AJ66" i="34"/>
  <c r="AJ9" i="37" s="1"/>
  <c r="AI77" i="34"/>
  <c r="AW4" i="37"/>
  <c r="AW66" i="34" l="1"/>
  <c r="AW9" i="37" s="1"/>
  <c r="AK66" i="34"/>
  <c r="AK9" i="37" s="1"/>
  <c r="AJ77" i="34"/>
  <c r="AV77" i="34"/>
  <c r="E3" i="35"/>
  <c r="D11" i="35" l="1"/>
  <c r="D13" i="35" s="1"/>
  <c r="E11" i="35"/>
  <c r="AK77" i="34"/>
  <c r="D8" i="35"/>
  <c r="F7" i="35"/>
  <c r="AW77" i="34"/>
  <c r="E2" i="35"/>
  <c r="F3" i="35"/>
  <c r="D12" i="35" l="1"/>
  <c r="E13" i="35"/>
  <c r="F5" i="35"/>
  <c r="F11" i="35"/>
  <c r="D19" i="35"/>
  <c r="E12" i="35"/>
  <c r="E10" i="35"/>
  <c r="E17" i="35"/>
  <c r="F2" i="35"/>
  <c r="E8" i="35"/>
  <c r="F8" i="35" s="1"/>
  <c r="D14" i="35" l="1"/>
  <c r="F13" i="35"/>
  <c r="D23" i="35"/>
  <c r="D20" i="35"/>
  <c r="E14" i="35"/>
  <c r="E19" i="35"/>
  <c r="D26" i="35" l="1"/>
  <c r="D30" i="35" s="1"/>
  <c r="D27" i="35"/>
  <c r="E20" i="35"/>
  <c r="E23" i="35"/>
  <c r="F19" i="35"/>
  <c r="E26" i="35" l="1"/>
  <c r="E27" i="35"/>
  <c r="D31" i="35" l="1"/>
  <c r="AH12" i="37"/>
  <c r="AH8" i="37" s="1"/>
  <c r="AH14" i="37" s="1"/>
  <c r="AF12" i="37"/>
  <c r="AF8" i="37" s="1"/>
  <c r="AF14" i="37" s="1"/>
  <c r="AG12" i="37"/>
  <c r="AG8" i="37" s="1"/>
  <c r="AG14" i="37" s="1"/>
  <c r="AA12" i="37"/>
  <c r="AA8" i="37" s="1"/>
  <c r="AA14" i="37" s="1"/>
  <c r="AI12" i="37"/>
  <c r="AI8" i="37" s="1"/>
  <c r="AI14" i="37" s="1"/>
  <c r="AB12" i="37"/>
  <c r="AB8" i="37" s="1"/>
  <c r="AB14" i="37" s="1"/>
  <c r="AJ12" i="37"/>
  <c r="AJ8" i="37" s="1"/>
  <c r="AJ14" i="37" s="1"/>
  <c r="AC12" i="37"/>
  <c r="AC8" i="37" s="1"/>
  <c r="AC14" i="37" s="1"/>
  <c r="AK12" i="37"/>
  <c r="AK8" i="37" s="1"/>
  <c r="AK14" i="37" s="1"/>
  <c r="AD12" i="37"/>
  <c r="AD8" i="37" s="1"/>
  <c r="AD14" i="37" s="1"/>
  <c r="Z12" i="37"/>
  <c r="Z8" i="37" s="1"/>
  <c r="Z14" i="37" s="1"/>
  <c r="AE12" i="37"/>
  <c r="AE8" i="37" s="1"/>
  <c r="AE14" i="37" s="1"/>
  <c r="E30" i="35"/>
  <c r="F26" i="35"/>
  <c r="AJ18" i="37" l="1"/>
  <c r="AJ17" i="37" s="1"/>
  <c r="AJ34" i="37" s="1"/>
  <c r="AI18" i="37"/>
  <c r="AI17" i="37" s="1"/>
  <c r="AI34" i="37" s="1"/>
  <c r="AE18" i="37"/>
  <c r="AE17" i="37" s="1"/>
  <c r="AE34" i="37" s="1"/>
  <c r="AA18" i="37"/>
  <c r="AA17" i="37" s="1"/>
  <c r="AA34" i="37" s="1"/>
  <c r="Z18" i="37"/>
  <c r="Z17" i="37" s="1"/>
  <c r="Z34" i="37" s="1"/>
  <c r="AD18" i="37"/>
  <c r="AD17" i="37" s="1"/>
  <c r="AD34" i="37" s="1"/>
  <c r="AF18" i="37"/>
  <c r="AF17" i="37" s="1"/>
  <c r="AF34" i="37" s="1"/>
  <c r="AB18" i="37"/>
  <c r="AB17" i="37" s="1"/>
  <c r="AB34" i="37" s="1"/>
  <c r="AG18" i="37"/>
  <c r="AG17" i="37" s="1"/>
  <c r="AG34" i="37" s="1"/>
  <c r="AK18" i="37"/>
  <c r="AK17" i="37" s="1"/>
  <c r="AK34" i="37" s="1"/>
  <c r="AH18" i="37"/>
  <c r="AH17" i="37" s="1"/>
  <c r="AH34" i="37" s="1"/>
  <c r="AC18" i="37"/>
  <c r="AC17" i="37" s="1"/>
  <c r="AC34" i="37" s="1"/>
  <c r="E31" i="35"/>
  <c r="AT12" i="37"/>
  <c r="AT8" i="37" s="1"/>
  <c r="AT14" i="37" s="1"/>
  <c r="BB12" i="37"/>
  <c r="AL12" i="37"/>
  <c r="AL8" i="37" s="1"/>
  <c r="AL14" i="37" s="1"/>
  <c r="AM12" i="37"/>
  <c r="AM8" i="37" s="1"/>
  <c r="AM14" i="37" s="1"/>
  <c r="AU12" i="37"/>
  <c r="AU8" i="37" s="1"/>
  <c r="AU14" i="37" s="1"/>
  <c r="BC12" i="37"/>
  <c r="BA12" i="37"/>
  <c r="AN12" i="37"/>
  <c r="AN8" i="37" s="1"/>
  <c r="AN14" i="37" s="1"/>
  <c r="AV12" i="37"/>
  <c r="AV8" i="37" s="1"/>
  <c r="AV14" i="37" s="1"/>
  <c r="BD12" i="37"/>
  <c r="AO12" i="37"/>
  <c r="AO8" i="37" s="1"/>
  <c r="AO14" i="37" s="1"/>
  <c r="AW12" i="37"/>
  <c r="AW8" i="37" s="1"/>
  <c r="AW14" i="37" s="1"/>
  <c r="BE12" i="37"/>
  <c r="AZ12" i="37"/>
  <c r="AP12" i="37"/>
  <c r="AP8" i="37" s="1"/>
  <c r="AP14" i="37" s="1"/>
  <c r="AX12" i="37"/>
  <c r="BF12" i="37"/>
  <c r="BH12" i="37"/>
  <c r="BI12" i="37"/>
  <c r="AQ12" i="37"/>
  <c r="AQ8" i="37" s="1"/>
  <c r="AQ14" i="37" s="1"/>
  <c r="AY12" i="37"/>
  <c r="BG12" i="37"/>
  <c r="AR12" i="37"/>
  <c r="AR8" i="37" s="1"/>
  <c r="AR14" i="37" s="1"/>
  <c r="AS12" i="37"/>
  <c r="AS8" i="37" s="1"/>
  <c r="AS14" i="37" s="1"/>
  <c r="F31" i="35"/>
  <c r="AS18" i="37" l="1"/>
  <c r="AS17" i="37" s="1"/>
  <c r="AS34" i="37" s="1"/>
  <c r="AR18" i="37"/>
  <c r="AR17" i="37" s="1"/>
  <c r="AR34" i="37" s="1"/>
  <c r="AP18" i="37"/>
  <c r="AP17" i="37" s="1"/>
  <c r="AP34" i="37" s="1"/>
  <c r="AU18" i="37"/>
  <c r="AU17" i="37" s="1"/>
  <c r="AU34" i="37" s="1"/>
  <c r="AQ18" i="37"/>
  <c r="AQ17" i="37" s="1"/>
  <c r="AQ34" i="37" s="1"/>
  <c r="AL18" i="37"/>
  <c r="AL17" i="37" s="1"/>
  <c r="AN18" i="37"/>
  <c r="AN17" i="37" s="1"/>
  <c r="AN34" i="37" s="1"/>
  <c r="AM18" i="37"/>
  <c r="AM17" i="37" s="1"/>
  <c r="AM34" i="37" s="1"/>
  <c r="AO18" i="37"/>
  <c r="AO17" i="37" s="1"/>
  <c r="AO34" i="37" s="1"/>
  <c r="AW18" i="37"/>
  <c r="AW17" i="37" s="1"/>
  <c r="AW34" i="37" s="1"/>
  <c r="AV18" i="37"/>
  <c r="AV17" i="37" s="1"/>
  <c r="AV34" i="37" s="1"/>
  <c r="AT18" i="37"/>
  <c r="AT17" i="37" s="1"/>
  <c r="AT34" i="37" s="1"/>
  <c r="S34" i="37"/>
  <c r="S36" i="37" s="1"/>
  <c r="AL34" i="37" l="1"/>
  <c r="XFD17" i="37"/>
  <c r="T35" i="37"/>
  <c r="T36" i="37" s="1"/>
  <c r="U35" i="37" s="1"/>
  <c r="U36" i="37" s="1"/>
  <c r="V35" i="37" s="1"/>
  <c r="V36" i="37" s="1"/>
  <c r="W35" i="37" s="1"/>
  <c r="W36" i="37" s="1"/>
  <c r="X35" i="37" s="1"/>
  <c r="X36" i="37" s="1"/>
  <c r="Y35" i="37" s="1"/>
  <c r="Y36" i="37" s="1"/>
  <c r="Z35" i="37" s="1"/>
  <c r="Z36" i="37" s="1"/>
  <c r="B39" i="37" l="1"/>
  <c r="AA35" i="37"/>
  <c r="AA36" i="37" s="1"/>
  <c r="AB35" i="37" s="1"/>
  <c r="AB36" i="37" s="1"/>
  <c r="AC35" i="37" s="1"/>
  <c r="AC36" i="37" s="1"/>
  <c r="AD35" i="37" s="1"/>
  <c r="AD36" i="37" s="1"/>
  <c r="AE35" i="37" s="1"/>
  <c r="AE36" i="37" s="1"/>
  <c r="AF35" i="37" s="1"/>
  <c r="AF36" i="37" s="1"/>
  <c r="AG35" i="37" s="1"/>
  <c r="AG36" i="37" s="1"/>
  <c r="AH35" i="37" s="1"/>
  <c r="AH36" i="37" s="1"/>
  <c r="AI35" i="37" s="1"/>
  <c r="AI36" i="37" s="1"/>
  <c r="AJ35" i="37" s="1"/>
  <c r="AJ36" i="37" s="1"/>
  <c r="AK35" i="37" s="1"/>
  <c r="AK36" i="37" s="1"/>
  <c r="AL35" i="37" s="1"/>
  <c r="AL36" i="37" s="1"/>
  <c r="AM35" i="37" l="1"/>
  <c r="AM36" i="37" s="1"/>
  <c r="AN35" i="37" s="1"/>
  <c r="AN36" i="37" s="1"/>
  <c r="AO35" i="37" s="1"/>
  <c r="AO36" i="37" s="1"/>
  <c r="AP35" i="37" s="1"/>
  <c r="AP36" i="37" s="1"/>
  <c r="AQ35" i="37" s="1"/>
  <c r="AQ36" i="37" s="1"/>
  <c r="AR35" i="37" s="1"/>
  <c r="AR36" i="37" s="1"/>
  <c r="AS35" i="37" s="1"/>
  <c r="AS36" i="37" s="1"/>
  <c r="AT35" i="37" s="1"/>
  <c r="AT36" i="37" s="1"/>
  <c r="AU35" i="37" s="1"/>
  <c r="AU36" i="37" s="1"/>
  <c r="AV35" i="37" s="1"/>
  <c r="AV36" i="37" s="1"/>
  <c r="AW35" i="37" s="1"/>
  <c r="AW36" i="37" s="1"/>
  <c r="AX35" i="37" s="1"/>
  <c r="AX36" i="37" s="1"/>
  <c r="B40" i="37"/>
  <c r="AY35" i="37" l="1"/>
  <c r="AY36" i="37" s="1"/>
  <c r="AZ35" i="37" s="1"/>
  <c r="AZ36" i="37" s="1"/>
  <c r="BA35" i="37" s="1"/>
  <c r="BA36" i="37" s="1"/>
  <c r="BB35" i="37" s="1"/>
  <c r="BB36" i="37" s="1"/>
  <c r="BC35" i="37" s="1"/>
  <c r="BC36" i="37" s="1"/>
  <c r="BD35" i="37" s="1"/>
  <c r="BD36" i="37" s="1"/>
  <c r="BE35" i="37" s="1"/>
  <c r="BE36" i="37" s="1"/>
  <c r="BF35" i="37" s="1"/>
  <c r="BF36" i="37" s="1"/>
  <c r="BG35" i="37" s="1"/>
  <c r="BG36" i="37" s="1"/>
  <c r="BH35" i="37" s="1"/>
  <c r="BH36" i="37" s="1"/>
  <c r="BI35" i="37" s="1"/>
  <c r="BI36" i="37" s="1"/>
  <c r="B41" i="37"/>
  <c r="B42" i="37" l="1"/>
</calcChain>
</file>

<file path=xl/sharedStrings.xml><?xml version="1.0" encoding="utf-8"?>
<sst xmlns="http://schemas.openxmlformats.org/spreadsheetml/2006/main" count="160" uniqueCount="147">
  <si>
    <t>HYPOTHESES</t>
  </si>
  <si>
    <t>Total</t>
  </si>
  <si>
    <t>ANNEE 1</t>
  </si>
  <si>
    <t>ANNEE 2</t>
  </si>
  <si>
    <t>ANNEE 3</t>
  </si>
  <si>
    <t>indépendant</t>
  </si>
  <si>
    <t>employé (1er : no SS)</t>
  </si>
  <si>
    <t>index + 3%</t>
  </si>
  <si>
    <t>HARDWARE</t>
  </si>
  <si>
    <t>SOFTWARE</t>
  </si>
  <si>
    <t>Support IT (Serveur Amazon)</t>
  </si>
  <si>
    <t>DESIGN</t>
  </si>
  <si>
    <t>ADMIN-LEGAL</t>
  </si>
  <si>
    <t>Internet</t>
  </si>
  <si>
    <t>Assurances</t>
  </si>
  <si>
    <t>Marge brute</t>
  </si>
  <si>
    <t>Action Flyers</t>
  </si>
  <si>
    <t>Video</t>
  </si>
  <si>
    <t>Régie Média Belge</t>
  </si>
  <si>
    <t>Communication (PR)</t>
  </si>
  <si>
    <t>EBITDA</t>
  </si>
  <si>
    <t>Total cumulé</t>
  </si>
  <si>
    <t>Marge brut / CA</t>
  </si>
  <si>
    <t>-</t>
  </si>
  <si>
    <t>EBITDA / CA</t>
  </si>
  <si>
    <t xml:space="preserve">Dotam </t>
  </si>
  <si>
    <t>YEAR 2</t>
  </si>
  <si>
    <t>YEAR 3</t>
  </si>
  <si>
    <t>Flux d'investissement</t>
  </si>
  <si>
    <t>Min année 1</t>
  </si>
  <si>
    <t>Min année 2</t>
  </si>
  <si>
    <t>Min année 3</t>
  </si>
  <si>
    <t>Min année 4</t>
  </si>
  <si>
    <t>Min année 5</t>
  </si>
  <si>
    <t>Investissements</t>
  </si>
  <si>
    <t>Trésorerie</t>
  </si>
  <si>
    <t>YEAR 1</t>
  </si>
  <si>
    <t>Action Mobility SHOP/303030</t>
  </si>
  <si>
    <t xml:space="preserve">SPREDS campagnes crowdfunding </t>
  </si>
  <si>
    <t>ost price of a final signage excluding VAT</t>
  </si>
  <si>
    <t>ost price of a  prototype signage excluding VAT</t>
  </si>
  <si>
    <t>Turnover of a signage per month including VAT</t>
  </si>
  <si>
    <t>Day</t>
  </si>
  <si>
    <t>Evening</t>
  </si>
  <si>
    <t>We consider an increase in revenues generated by signage over the first 7 months</t>
  </si>
  <si>
    <t>MONTH 1</t>
  </si>
  <si>
    <t>MONTH 2</t>
  </si>
  <si>
    <t>MONTH 3</t>
  </si>
  <si>
    <t>MONTH 4</t>
  </si>
  <si>
    <t>MONTH 5</t>
  </si>
  <si>
    <t>MONTH 6</t>
  </si>
  <si>
    <t>MONTH 7</t>
  </si>
  <si>
    <t>Monthly</t>
  </si>
  <si>
    <t>Annual cost</t>
  </si>
  <si>
    <t>Monthly cost</t>
  </si>
  <si>
    <t>Salary Dirigeant + précompte+loi sociale (Salvatore Arrigo)</t>
  </si>
  <si>
    <t>salary Product Manager (Pierre Van Nieuwenhove)</t>
  </si>
  <si>
    <t>salary IT manager (Fadwa Gmiden)</t>
  </si>
  <si>
    <t>salary Engenieur électronique</t>
  </si>
  <si>
    <t>salary Commercial FR</t>
  </si>
  <si>
    <t>salary Commercial NL</t>
  </si>
  <si>
    <t>salary Communauty Manager</t>
  </si>
  <si>
    <t>salary Office Manager</t>
  </si>
  <si>
    <t>2 salaries Commercial FR</t>
  </si>
  <si>
    <t>2 salaries Commercial NL</t>
  </si>
  <si>
    <t>Turnover Total</t>
  </si>
  <si>
    <t xml:space="preserve">Signages total </t>
  </si>
  <si>
    <t>installed on Brussels</t>
  </si>
  <si>
    <t>installed sur Anvers/Liège</t>
  </si>
  <si>
    <t>installed sur Charleroi/Namur/Courtrai/Mons Gand/Knokke/Koksijde/Ostende</t>
  </si>
  <si>
    <t>Stock at the end of the month</t>
  </si>
  <si>
    <t>Stock beginnig of the month</t>
  </si>
  <si>
    <t>DIRECT COST</t>
  </si>
  <si>
    <t>GOOD &amp; SERVICES</t>
  </si>
  <si>
    <t>Gross Profit</t>
  </si>
  <si>
    <t>Marketing &amp; Communication (3)</t>
  </si>
  <si>
    <t>OPERATING COSTS</t>
  </si>
  <si>
    <t>OPERATING COST</t>
  </si>
  <si>
    <t>Marketing &amp; Communication</t>
  </si>
  <si>
    <t>Payroll</t>
  </si>
  <si>
    <t>Payroll (2)</t>
  </si>
  <si>
    <t>Payroll / Turnover</t>
  </si>
  <si>
    <t>Operating income</t>
  </si>
  <si>
    <t>Financial result</t>
  </si>
  <si>
    <t>Current result</t>
  </si>
  <si>
    <t>current result/Turnover</t>
  </si>
  <si>
    <t>Exceptional result</t>
  </si>
  <si>
    <t>Deferred deficit</t>
  </si>
  <si>
    <t xml:space="preserve">TAX* </t>
  </si>
  <si>
    <t>NET INCOME</t>
  </si>
  <si>
    <t>*' Tax 29,58 % (from 2018) and 25% (from 2020) - innovation revenues from 2021</t>
  </si>
  <si>
    <t>DIRECT COSTS</t>
  </si>
  <si>
    <t>OPERATING INCOME</t>
  </si>
  <si>
    <t>Months</t>
  </si>
  <si>
    <t>Fees</t>
  </si>
  <si>
    <t>Tax</t>
  </si>
  <si>
    <t>Providers</t>
  </si>
  <si>
    <t>CASHFLOW</t>
  </si>
  <si>
    <t>Operating cashflow</t>
  </si>
  <si>
    <t>Turnover</t>
  </si>
  <si>
    <t>Net Income</t>
  </si>
  <si>
    <t>Invest flows</t>
  </si>
  <si>
    <t>Private investor (co-investor)</t>
  </si>
  <si>
    <t>Seria A fund</t>
  </si>
  <si>
    <t>refund loans</t>
  </si>
  <si>
    <t>Bank loans</t>
  </si>
  <si>
    <t>Cashflow variation</t>
  </si>
  <si>
    <t>Cashflow at the beginning of the month</t>
  </si>
  <si>
    <t>Caschflow at the end of the month</t>
  </si>
  <si>
    <t xml:space="preserve"> * hypotheses:all revenues and fees without delay of payment</t>
  </si>
  <si>
    <t>Web development</t>
  </si>
  <si>
    <t>App development</t>
  </si>
  <si>
    <t>AVSD (Graphism)</t>
  </si>
  <si>
    <t>Notary</t>
  </si>
  <si>
    <t>Accounting</t>
  </si>
  <si>
    <t>Patent</t>
  </si>
  <si>
    <t>Legal/fiscal</t>
  </si>
  <si>
    <t>SPREDS FEES</t>
  </si>
  <si>
    <t>Subsides search (NextStep)</t>
  </si>
  <si>
    <t>Office rent</t>
  </si>
  <si>
    <t>office material</t>
  </si>
  <si>
    <t>Computers</t>
  </si>
  <si>
    <t>Brand property</t>
  </si>
  <si>
    <t>Phones</t>
  </si>
  <si>
    <t>phones fees</t>
  </si>
  <si>
    <t>Tablets</t>
  </si>
  <si>
    <t>Car leasing</t>
  </si>
  <si>
    <t>Garage acquisition (social media)</t>
  </si>
  <si>
    <t>Garage acquisition (door to door)</t>
  </si>
  <si>
    <t>Salon Auto - We are Mobility</t>
  </si>
  <si>
    <t>Radio TV flemish part</t>
  </si>
  <si>
    <t>Signage production (prototype - finale)</t>
  </si>
  <si>
    <t>Hardware development (Make IT-Productize)</t>
  </si>
  <si>
    <t>Mold production</t>
  </si>
  <si>
    <t>Signage placement (10 €/ signage)</t>
  </si>
  <si>
    <t>Signage support (10%)</t>
  </si>
  <si>
    <t>Owners revenues (through Pasha Sharing)</t>
  </si>
  <si>
    <t>Total Payroll</t>
  </si>
  <si>
    <t>For the sake of simplicity, we considered only the payment per minute licenses according to the following pricing:
€ 2.99 TTC / h during the day.
€ 1.99 TTC / h in the evening and the weekend.
In crusing speed, we consider that the payment for the use of licenses is:
During the day: 3.5 hours a day for 12 working days a month.
In the evening: 2 hours a day for 10 working days a month.
Weekend: 4 hours a day for 3 days of weekends a month.</t>
  </si>
  <si>
    <t>TURNOVER Total</t>
  </si>
  <si>
    <t>Var "Need in working capital"*</t>
  </si>
  <si>
    <t>Depreciation allowance</t>
  </si>
  <si>
    <t>SUBSIDIES (Brussels subsidies - BBE &amp; Innoviris)</t>
  </si>
  <si>
    <t>SESAM (subsidies from Walonia - payroll subsidies)</t>
  </si>
  <si>
    <t>Private loan</t>
  </si>
  <si>
    <t xml:space="preserve">Signage production </t>
  </si>
  <si>
    <t>Total installed pieces (signages)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</si>
</sst>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\ &quot;€&quot;"/>
    <numFmt numFmtId="166" formatCode="_-* #,##0\ &quot;€&quot;_-;\-* #,##0\ &quot;€&quot;_-;_-* &quot;-&quot;??\ &quot;€&quot;_-;_-@_-"/>
    <numFmt numFmtId="167" formatCode="_-* #,##0\ _€_-;\-* #,##0\ _€_-;_-* &quot;-&quot;??\ _€_-;_-@_-"/>
    <numFmt numFmtId="168" formatCode="#,##0_ ;\-#,##0\ "/>
    <numFmt numFmtId="169" formatCode="0.0%"/>
    <numFmt numFmtId="170" formatCode="_-* #,##0.0\ _€_-;\-* #,##0.0\ _€_-;_-* &quot;-&quot;?\ _€_-;_-@_-"/>
    <numFmt numFmtId="171" formatCode="_-* #,##0\ _€_-;\-* #,##0\ _€_-;_-* &quot;-&quot;?\ _€_-;_-@_-"/>
    <numFmt numFmtId="172" formatCode="#,##0.00\ &quot;€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3062A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vertical="center"/>
    </xf>
    <xf numFmtId="17" fontId="0" fillId="0" borderId="0" xfId="0" applyNumberFormat="1" applyAlignment="1">
      <alignment horizontal="center"/>
    </xf>
    <xf numFmtId="166" fontId="6" fillId="6" borderId="0" xfId="15" applyNumberFormat="1" applyFont="1" applyFill="1"/>
    <xf numFmtId="166" fontId="0" fillId="0" borderId="0" xfId="15" applyNumberFormat="1" applyFont="1"/>
    <xf numFmtId="167" fontId="0" fillId="0" borderId="0" xfId="1" applyNumberFormat="1" applyFont="1"/>
    <xf numFmtId="166" fontId="2" fillId="0" borderId="0" xfId="15" applyNumberFormat="1" applyFont="1"/>
    <xf numFmtId="0" fontId="9" fillId="0" borderId="0" xfId="0" applyFont="1"/>
    <xf numFmtId="167" fontId="9" fillId="0" borderId="0" xfId="1" applyNumberFormat="1" applyFont="1"/>
    <xf numFmtId="0" fontId="8" fillId="0" borderId="0" xfId="0" applyFont="1" applyAlignment="1">
      <alignment horizontal="center"/>
    </xf>
    <xf numFmtId="167" fontId="8" fillId="0" borderId="0" xfId="1" applyNumberFormat="1" applyFont="1" applyAlignment="1">
      <alignment horizontal="center"/>
    </xf>
    <xf numFmtId="0" fontId="7" fillId="0" borderId="0" xfId="0" applyFont="1"/>
    <xf numFmtId="0" fontId="11" fillId="0" borderId="0" xfId="0" applyFont="1"/>
    <xf numFmtId="167" fontId="8" fillId="0" borderId="0" xfId="1" applyNumberFormat="1" applyFont="1"/>
    <xf numFmtId="0" fontId="8" fillId="0" borderId="0" xfId="0" applyFont="1"/>
    <xf numFmtId="167" fontId="8" fillId="0" borderId="0" xfId="0" applyNumberFormat="1" applyFont="1"/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0" xfId="0" applyFont="1"/>
    <xf numFmtId="3" fontId="2" fillId="0" borderId="0" xfId="0" applyNumberFormat="1" applyFont="1"/>
    <xf numFmtId="167" fontId="2" fillId="0" borderId="0" xfId="0" applyNumberFormat="1" applyFont="1"/>
    <xf numFmtId="3" fontId="2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15" fillId="4" borderId="0" xfId="0" applyFont="1" applyFill="1"/>
    <xf numFmtId="0" fontId="0" fillId="4" borderId="0" xfId="0" applyFill="1"/>
    <xf numFmtId="167" fontId="2" fillId="0" borderId="0" xfId="1" applyNumberFormat="1" applyFont="1"/>
    <xf numFmtId="0" fontId="16" fillId="0" borderId="0" xfId="0" applyFont="1"/>
    <xf numFmtId="166" fontId="6" fillId="7" borderId="0" xfId="15" applyNumberFormat="1" applyFont="1" applyFill="1"/>
    <xf numFmtId="166" fontId="6" fillId="0" borderId="0" xfId="15" applyNumberFormat="1" applyFont="1"/>
    <xf numFmtId="0" fontId="17" fillId="7" borderId="0" xfId="15" applyNumberFormat="1" applyFont="1" applyFill="1"/>
    <xf numFmtId="0" fontId="0" fillId="0" borderId="4" xfId="0" applyBorder="1"/>
    <xf numFmtId="167" fontId="18" fillId="0" borderId="4" xfId="0" applyNumberFormat="1" applyFont="1" applyBorder="1" applyAlignment="1">
      <alignment horizontal="center"/>
    </xf>
    <xf numFmtId="167" fontId="8" fillId="0" borderId="4" xfId="0" applyNumberFormat="1" applyFont="1" applyBorder="1" applyAlignment="1">
      <alignment horizontal="center"/>
    </xf>
    <xf numFmtId="167" fontId="7" fillId="0" borderId="4" xfId="1" applyNumberFormat="1" applyFont="1" applyBorder="1" applyAlignment="1">
      <alignment horizontal="center"/>
    </xf>
    <xf numFmtId="167" fontId="0" fillId="0" borderId="4" xfId="1" applyNumberFormat="1" applyFont="1" applyBorder="1"/>
    <xf numFmtId="167" fontId="0" fillId="0" borderId="4" xfId="1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7" fontId="12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9" fontId="0" fillId="0" borderId="4" xfId="2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7" fontId="7" fillId="0" borderId="4" xfId="0" applyNumberFormat="1" applyFont="1" applyBorder="1" applyAlignment="1">
      <alignment horizontal="center"/>
    </xf>
    <xf numFmtId="169" fontId="0" fillId="0" borderId="4" xfId="2" applyNumberFormat="1" applyFont="1" applyBorder="1" applyAlignment="1">
      <alignment horizontal="center"/>
    </xf>
    <xf numFmtId="0" fontId="2" fillId="10" borderId="0" xfId="0" applyFont="1" applyFill="1" applyAlignment="1">
      <alignment horizontal="left" vertical="center"/>
    </xf>
    <xf numFmtId="0" fontId="2" fillId="0" borderId="0" xfId="0" applyFont="1" applyAlignment="1">
      <alignment horizontal="right"/>
    </xf>
    <xf numFmtId="9" fontId="0" fillId="0" borderId="0" xfId="2" applyFont="1"/>
    <xf numFmtId="167" fontId="6" fillId="6" borderId="0" xfId="1" applyNumberFormat="1" applyFont="1" applyFill="1"/>
    <xf numFmtId="166" fontId="6" fillId="0" borderId="0" xfId="15" applyNumberFormat="1" applyFont="1" applyFill="1"/>
    <xf numFmtId="0" fontId="0" fillId="0" borderId="0" xfId="0" applyFont="1"/>
    <xf numFmtId="17" fontId="0" fillId="0" borderId="0" xfId="0" applyNumberFormat="1" applyFont="1" applyAlignment="1">
      <alignment horizontal="center"/>
    </xf>
    <xf numFmtId="0" fontId="0" fillId="2" borderId="0" xfId="0" applyFont="1" applyFill="1" applyAlignment="1">
      <alignment horizontal="center"/>
    </xf>
    <xf numFmtId="3" fontId="0" fillId="0" borderId="0" xfId="0" applyNumberFormat="1" applyFont="1"/>
    <xf numFmtId="0" fontId="0" fillId="0" borderId="0" xfId="0" applyFont="1" applyAlignment="1">
      <alignment horizontal="left"/>
    </xf>
    <xf numFmtId="166" fontId="0" fillId="0" borderId="0" xfId="0" applyNumberFormat="1" applyFont="1"/>
    <xf numFmtId="167" fontId="0" fillId="0" borderId="0" xfId="0" applyNumberFormat="1" applyFont="1"/>
    <xf numFmtId="167" fontId="20" fillId="0" borderId="0" xfId="1" applyNumberFormat="1" applyFont="1"/>
    <xf numFmtId="0" fontId="0" fillId="4" borderId="0" xfId="0" applyFont="1" applyFill="1" applyAlignment="1">
      <alignment horizontal="center"/>
    </xf>
    <xf numFmtId="0" fontId="21" fillId="8" borderId="0" xfId="0" applyFont="1" applyFill="1" applyAlignment="1">
      <alignment horizontal="center"/>
    </xf>
    <xf numFmtId="17" fontId="21" fillId="8" borderId="0" xfId="0" applyNumberFormat="1" applyFont="1" applyFill="1" applyAlignment="1">
      <alignment horizontal="center"/>
    </xf>
    <xf numFmtId="167" fontId="21" fillId="8" borderId="0" xfId="1" applyNumberFormat="1" applyFont="1" applyFill="1" applyAlignment="1">
      <alignment horizontal="center"/>
    </xf>
    <xf numFmtId="170" fontId="0" fillId="0" borderId="0" xfId="0" applyNumberFormat="1" applyFont="1"/>
    <xf numFmtId="171" fontId="0" fillId="0" borderId="0" xfId="0" applyNumberFormat="1" applyFont="1"/>
    <xf numFmtId="167" fontId="14" fillId="0" borderId="0" xfId="1" applyNumberFormat="1" applyFont="1"/>
    <xf numFmtId="165" fontId="0" fillId="4" borderId="0" xfId="0" applyNumberFormat="1" applyFill="1" applyAlignment="1">
      <alignment horizontal="center"/>
    </xf>
    <xf numFmtId="0" fontId="2" fillId="3" borderId="4" xfId="0" applyFont="1" applyFill="1" applyBorder="1"/>
    <xf numFmtId="0" fontId="2" fillId="0" borderId="4" xfId="0" applyFont="1" applyBorder="1"/>
    <xf numFmtId="0" fontId="0" fillId="0" borderId="4" xfId="0" applyFont="1" applyBorder="1"/>
    <xf numFmtId="169" fontId="17" fillId="0" borderId="4" xfId="0" applyNumberFormat="1" applyFont="1" applyBorder="1" applyAlignment="1">
      <alignment horizontal="center"/>
    </xf>
    <xf numFmtId="168" fontId="2" fillId="0" borderId="4" xfId="1" applyNumberFormat="1" applyFont="1" applyBorder="1" applyAlignment="1">
      <alignment horizontal="center"/>
    </xf>
    <xf numFmtId="167" fontId="2" fillId="0" borderId="4" xfId="1" applyNumberFormat="1" applyFont="1" applyBorder="1"/>
    <xf numFmtId="0" fontId="17" fillId="0" borderId="4" xfId="0" applyFont="1" applyBorder="1"/>
    <xf numFmtId="10" fontId="17" fillId="0" borderId="4" xfId="0" applyNumberFormat="1" applyFont="1" applyBorder="1" applyAlignment="1">
      <alignment horizontal="center"/>
    </xf>
    <xf numFmtId="0" fontId="2" fillId="11" borderId="4" xfId="0" applyFont="1" applyFill="1" applyBorder="1"/>
    <xf numFmtId="172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  <xf numFmtId="166" fontId="0" fillId="0" borderId="0" xfId="15" applyNumberFormat="1" applyFont="1" applyAlignment="1">
      <alignment horizontal="center"/>
    </xf>
    <xf numFmtId="166" fontId="0" fillId="0" borderId="0" xfId="15" applyNumberFormat="1" applyFont="1" applyAlignment="1">
      <alignment horizontal="center" vertical="center"/>
    </xf>
    <xf numFmtId="166" fontId="2" fillId="0" borderId="0" xfId="15" applyNumberFormat="1" applyFont="1" applyAlignment="1">
      <alignment horizontal="left" vertical="center"/>
    </xf>
    <xf numFmtId="166" fontId="2" fillId="2" borderId="2" xfId="15" applyNumberFormat="1" applyFont="1" applyFill="1" applyBorder="1" applyAlignment="1">
      <alignment horizontal="center"/>
    </xf>
    <xf numFmtId="166" fontId="0" fillId="0" borderId="0" xfId="15" applyNumberFormat="1" applyFont="1" applyFill="1" applyAlignment="1">
      <alignment horizontal="center"/>
    </xf>
    <xf numFmtId="166" fontId="0" fillId="0" borderId="0" xfId="15" applyNumberFormat="1" applyFont="1" applyFill="1"/>
    <xf numFmtId="166" fontId="0" fillId="0" borderId="0" xfId="15" applyNumberFormat="1" applyFont="1" applyFill="1" applyAlignment="1">
      <alignment horizontal="center" vertical="center"/>
    </xf>
    <xf numFmtId="166" fontId="17" fillId="7" borderId="0" xfId="15" applyNumberFormat="1" applyFont="1" applyFill="1"/>
    <xf numFmtId="166" fontId="17" fillId="7" borderId="0" xfId="15" applyNumberFormat="1" applyFont="1" applyFill="1" applyAlignment="1">
      <alignment wrapText="1"/>
    </xf>
    <xf numFmtId="3" fontId="1" fillId="0" borderId="0" xfId="1" applyNumberFormat="1" applyFont="1"/>
    <xf numFmtId="167" fontId="2" fillId="2" borderId="0" xfId="1" applyNumberFormat="1" applyFont="1" applyFill="1"/>
    <xf numFmtId="166" fontId="2" fillId="2" borderId="0" xfId="15" applyNumberFormat="1" applyFont="1" applyFill="1"/>
    <xf numFmtId="167" fontId="20" fillId="2" borderId="1" xfId="1" applyNumberFormat="1" applyFont="1" applyFill="1" applyBorder="1"/>
    <xf numFmtId="166" fontId="0" fillId="10" borderId="0" xfId="15" applyNumberFormat="1" applyFont="1" applyFill="1"/>
    <xf numFmtId="166" fontId="2" fillId="10" borderId="0" xfId="15" applyNumberFormat="1" applyFont="1" applyFill="1" applyAlignment="1">
      <alignment horizontal="left" vertical="center"/>
    </xf>
    <xf numFmtId="166" fontId="20" fillId="2" borderId="2" xfId="15" applyNumberFormat="1" applyFont="1" applyFill="1" applyBorder="1"/>
    <xf numFmtId="0" fontId="22" fillId="8" borderId="4" xfId="1" applyNumberFormat="1" applyFont="1" applyFill="1" applyBorder="1" applyAlignment="1">
      <alignment horizontal="center"/>
    </xf>
    <xf numFmtId="0" fontId="0" fillId="0" borderId="0" xfId="0" quotePrefix="1"/>
    <xf numFmtId="0" fontId="2" fillId="0" borderId="4" xfId="0" applyFont="1" applyBorder="1" applyAlignment="1">
      <alignment wrapText="1"/>
    </xf>
    <xf numFmtId="166" fontId="2" fillId="3" borderId="4" xfId="15" applyNumberFormat="1" applyFont="1" applyFill="1" applyBorder="1" applyAlignment="1">
      <alignment horizontal="center"/>
    </xf>
    <xf numFmtId="166" fontId="2" fillId="0" borderId="4" xfId="15" applyNumberFormat="1" applyFont="1" applyBorder="1" applyAlignment="1">
      <alignment horizontal="center"/>
    </xf>
    <xf numFmtId="166" fontId="0" fillId="0" borderId="4" xfId="15" applyNumberFormat="1" applyFont="1" applyBorder="1" applyAlignment="1">
      <alignment horizontal="center"/>
    </xf>
    <xf numFmtId="166" fontId="2" fillId="0" borderId="4" xfId="15" applyNumberFormat="1" applyFont="1" applyBorder="1"/>
    <xf numFmtId="166" fontId="0" fillId="0" borderId="4" xfId="15" applyNumberFormat="1" applyFont="1" applyBorder="1"/>
    <xf numFmtId="166" fontId="2" fillId="11" borderId="4" xfId="15" applyNumberFormat="1" applyFont="1" applyFill="1" applyBorder="1"/>
    <xf numFmtId="166" fontId="21" fillId="8" borderId="0" xfId="15" applyNumberFormat="1" applyFont="1" applyFill="1" applyAlignment="1">
      <alignment horizontal="center"/>
    </xf>
    <xf numFmtId="0" fontId="21" fillId="14" borderId="0" xfId="0" applyFont="1" applyFill="1" applyAlignment="1">
      <alignment horizontal="center"/>
    </xf>
    <xf numFmtId="166" fontId="0" fillId="14" borderId="0" xfId="15" applyNumberFormat="1" applyFont="1" applyFill="1"/>
    <xf numFmtId="166" fontId="5" fillId="14" borderId="0" xfId="15" applyNumberFormat="1" applyFont="1" applyFill="1"/>
    <xf numFmtId="0" fontId="0" fillId="2" borderId="0" xfId="0" applyFont="1" applyFill="1" applyAlignment="1">
      <alignment horizontal="center"/>
    </xf>
    <xf numFmtId="166" fontId="2" fillId="10" borderId="0" xfId="15" applyNumberFormat="1" applyFont="1" applyFill="1"/>
    <xf numFmtId="3" fontId="0" fillId="0" borderId="0" xfId="0" applyNumberFormat="1" applyFont="1" applyFill="1"/>
    <xf numFmtId="0" fontId="0" fillId="0" borderId="0" xfId="0" applyFont="1" applyFill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12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9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</cellXfs>
  <cellStyles count="16">
    <cellStyle name="Lien hypertexte" xfId="9" builtinId="8" hidden="1"/>
    <cellStyle name="Lien hypertexte" xfId="11" builtinId="8" hidden="1"/>
    <cellStyle name="Lien hypertexte" xfId="13" builtinId="8" hidden="1"/>
    <cellStyle name="Lien hypertexte" xfId="7" builtinId="8" hidden="1"/>
    <cellStyle name="Lien hypertexte" xfId="5" builtinId="8" hidden="1"/>
    <cellStyle name="Lien hypertexte" xfId="3" builtinId="8" hidden="1"/>
    <cellStyle name="Lien hypertexte visité" xfId="12" builtinId="9" hidden="1"/>
    <cellStyle name="Lien hypertexte visité" xfId="14" builtinId="9" hidden="1"/>
    <cellStyle name="Lien hypertexte visité" xfId="8" builtinId="9" hidden="1"/>
    <cellStyle name="Lien hypertexte visité" xfId="10" builtinId="9" hidden="1"/>
    <cellStyle name="Lien hypertexte visité" xfId="6" builtinId="9" hidden="1"/>
    <cellStyle name="Lien hypertexte visité" xfId="4" builtinId="9" hidden="1"/>
    <cellStyle name="Milliers" xfId="1" builtinId="3"/>
    <cellStyle name="Monétaire" xfId="15" builtinId="4"/>
    <cellStyle name="Normal" xfId="0" builtinId="0"/>
    <cellStyle name="Pourcentage" xfId="2" builtinId="5"/>
  </cellStyles>
  <dxfs count="0"/>
  <tableStyles count="0" defaultTableStyle="TableStyleMedium9" defaultPivotStyle="PivotStyleLight16"/>
  <colors>
    <mruColors>
      <color rgb="FFFF4F4F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shaparking-my.sharepoint.com/Users/Duquesne%20Family/Documents/A_Phil/Edalfi/Prospect/HAVILA/Ripsteer/2018_0801_Business%20Plan%20Ripsteer_V14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quesne%20Family/Documents/A_Phil/Edalfi/Prospect/HAVILA/Ripsteer/2018_0801_Business%20Plan%20Ripsteer_V14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 Hypothèses Digital"/>
      <sheetName val="1.2 Mots clés"/>
      <sheetName val="Liste"/>
      <sheetName val="1.3. Nbre Clients Prof. FR"/>
      <sheetName val="1.4. C.A. B2B 5 Pays"/>
      <sheetName val=" 1.5. Coût acquis B2B"/>
      <sheetName val="2. Actions commerciales"/>
      <sheetName val="3. Ressources humaines"/>
      <sheetName val="4. Charges opérationnelles"/>
      <sheetName val="8. CdR Mensuel"/>
      <sheetName val="9. CdR Annuel"/>
      <sheetName val="10. Tableau flux de trésorerie"/>
      <sheetName val="5. Investissements"/>
      <sheetName val="6. Amortissements"/>
      <sheetName val="7. Financement"/>
      <sheetName val="11. BFR"/>
      <sheetName val="12. Plan de financement"/>
      <sheetName val="Graph"/>
    </sheetNames>
    <sheetDataSet>
      <sheetData sheetId="0">
        <row r="28">
          <cell r="C28">
            <v>0.01</v>
          </cell>
        </row>
      </sheetData>
      <sheetData sheetId="1"/>
      <sheetData sheetId="2"/>
      <sheetData sheetId="3"/>
      <sheetData sheetId="4"/>
      <sheetData sheetId="5"/>
      <sheetData sheetId="6">
        <row r="63">
          <cell r="B63">
            <v>1</v>
          </cell>
        </row>
      </sheetData>
      <sheetData sheetId="7">
        <row r="55">
          <cell r="C55">
            <v>0.3</v>
          </cell>
        </row>
      </sheetData>
      <sheetData sheetId="8">
        <row r="9">
          <cell r="A9" t="str">
            <v>Charges variables 7</v>
          </cell>
        </row>
      </sheetData>
      <sheetData sheetId="9">
        <row r="4">
          <cell r="A4" t="str">
            <v>CA Total</v>
          </cell>
        </row>
      </sheetData>
      <sheetData sheetId="10">
        <row r="42">
          <cell r="B42">
            <v>0</v>
          </cell>
        </row>
      </sheetData>
      <sheetData sheetId="11">
        <row r="6">
          <cell r="B6">
            <v>4.0424999999999995</v>
          </cell>
        </row>
      </sheetData>
      <sheetData sheetId="12">
        <row r="3">
          <cell r="B3">
            <v>35000</v>
          </cell>
        </row>
      </sheetData>
      <sheetData sheetId="13"/>
      <sheetData sheetId="14">
        <row r="2">
          <cell r="B2">
            <v>25000</v>
          </cell>
        </row>
      </sheetData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 Hypothèses Digital"/>
      <sheetName val="1.2 Mots clés"/>
      <sheetName val="Liste"/>
      <sheetName val="1.3. Nbre Clients Prof. FR"/>
      <sheetName val="1.4. C.A. B2B 5 Pays"/>
      <sheetName val=" 1.5. Coût acquis B2B"/>
      <sheetName val="2. Actions commerciales"/>
      <sheetName val="3. Ressources humaines"/>
      <sheetName val="4. Charges opérationnelles"/>
      <sheetName val="8. CdR Mensuel"/>
      <sheetName val="9. CdR Annuel"/>
      <sheetName val="10. Tableau flux de trésorerie"/>
      <sheetName val="5. Investissements"/>
      <sheetName val="6. Amortissements"/>
      <sheetName val="7. Financement"/>
      <sheetName val="11. BFR"/>
      <sheetName val="12. Plan de financement"/>
      <sheetName val="Graph"/>
    </sheetNames>
    <sheetDataSet>
      <sheetData sheetId="0">
        <row r="28">
          <cell r="C28">
            <v>0.01</v>
          </cell>
        </row>
      </sheetData>
      <sheetData sheetId="1"/>
      <sheetData sheetId="2"/>
      <sheetData sheetId="3"/>
      <sheetData sheetId="4"/>
      <sheetData sheetId="5"/>
      <sheetData sheetId="6">
        <row r="63">
          <cell r="B63">
            <v>1</v>
          </cell>
        </row>
      </sheetData>
      <sheetData sheetId="7">
        <row r="55">
          <cell r="C55">
            <v>0.3</v>
          </cell>
        </row>
      </sheetData>
      <sheetData sheetId="8">
        <row r="9">
          <cell r="A9" t="str">
            <v>Charges variables 7</v>
          </cell>
        </row>
      </sheetData>
      <sheetData sheetId="9">
        <row r="4">
          <cell r="A4" t="str">
            <v>CA Total</v>
          </cell>
        </row>
      </sheetData>
      <sheetData sheetId="10">
        <row r="42">
          <cell r="B42">
            <v>0</v>
          </cell>
        </row>
      </sheetData>
      <sheetData sheetId="11">
        <row r="6">
          <cell r="B6">
            <v>4.0424999999999995</v>
          </cell>
        </row>
      </sheetData>
      <sheetData sheetId="12">
        <row r="3">
          <cell r="B3">
            <v>35000</v>
          </cell>
        </row>
      </sheetData>
      <sheetData sheetId="13"/>
      <sheetData sheetId="14">
        <row r="2">
          <cell r="B2">
            <v>25000</v>
          </cell>
        </row>
      </sheetData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8C592-D5E3-4FE7-9B19-8FDCA6BFCF4C}">
  <dimension ref="A1:E21"/>
  <sheetViews>
    <sheetView workbookViewId="0">
      <selection activeCell="I4" sqref="I4"/>
    </sheetView>
  </sheetViews>
  <sheetFormatPr baseColWidth="10" defaultColWidth="11.33203125" defaultRowHeight="14.4" x14ac:dyDescent="0.3"/>
  <cols>
    <col min="1" max="1" width="15" customWidth="1"/>
    <col min="3" max="3" width="30.109375" customWidth="1"/>
    <col min="4" max="4" width="14.77734375" style="26" customWidth="1"/>
    <col min="6" max="6" width="18" customWidth="1"/>
  </cols>
  <sheetData>
    <row r="1" spans="1:5" ht="23.4" x14ac:dyDescent="0.45">
      <c r="A1" s="27" t="s">
        <v>0</v>
      </c>
      <c r="B1" s="28"/>
      <c r="C1" s="28"/>
      <c r="D1" s="68"/>
      <c r="E1" s="28"/>
    </row>
    <row r="2" spans="1:5" x14ac:dyDescent="0.3">
      <c r="A2" s="113" t="s">
        <v>40</v>
      </c>
      <c r="B2" s="113"/>
      <c r="C2" s="113"/>
      <c r="D2" s="78">
        <v>60</v>
      </c>
      <c r="E2" s="53"/>
    </row>
    <row r="3" spans="1:5" x14ac:dyDescent="0.3">
      <c r="A3" s="113" t="s">
        <v>39</v>
      </c>
      <c r="B3" s="113"/>
      <c r="C3" s="113"/>
      <c r="D3" s="78">
        <v>45</v>
      </c>
      <c r="E3" s="53"/>
    </row>
    <row r="4" spans="1:5" x14ac:dyDescent="0.3">
      <c r="A4" s="113" t="s">
        <v>41</v>
      </c>
      <c r="B4" s="113"/>
      <c r="C4" s="113"/>
      <c r="D4" s="78">
        <f>C10/1.21</f>
        <v>156.41322314049589</v>
      </c>
      <c r="E4" s="53"/>
    </row>
    <row r="5" spans="1:5" x14ac:dyDescent="0.3">
      <c r="A5" s="53"/>
      <c r="B5" s="53"/>
      <c r="C5" s="53"/>
      <c r="D5" s="79"/>
      <c r="E5" s="53"/>
    </row>
    <row r="6" spans="1:5" ht="163.95" customHeight="1" x14ac:dyDescent="0.3">
      <c r="A6" s="114" t="s">
        <v>138</v>
      </c>
      <c r="B6" s="114"/>
      <c r="C6" s="114"/>
      <c r="D6" s="114"/>
      <c r="E6" s="114"/>
    </row>
    <row r="7" spans="1:5" x14ac:dyDescent="0.3">
      <c r="A7" s="53"/>
      <c r="B7" s="53"/>
      <c r="C7" s="53"/>
      <c r="D7" s="53"/>
      <c r="E7" s="53"/>
    </row>
    <row r="8" spans="1:5" x14ac:dyDescent="0.3">
      <c r="A8" s="53" t="s">
        <v>42</v>
      </c>
      <c r="B8" s="53">
        <v>42</v>
      </c>
      <c r="C8" s="53">
        <v>2.99</v>
      </c>
      <c r="D8" s="79"/>
      <c r="E8" s="53"/>
    </row>
    <row r="9" spans="1:5" x14ac:dyDescent="0.3">
      <c r="A9" s="53" t="s">
        <v>43</v>
      </c>
      <c r="B9" s="53">
        <v>32</v>
      </c>
      <c r="C9" s="53">
        <v>1.99</v>
      </c>
      <c r="D9" s="79"/>
      <c r="E9" s="53"/>
    </row>
    <row r="10" spans="1:5" x14ac:dyDescent="0.3">
      <c r="A10" s="49" t="s">
        <v>1</v>
      </c>
      <c r="B10" s="53"/>
      <c r="C10" s="53">
        <f>B8*C8+B9*C9</f>
        <v>189.26000000000002</v>
      </c>
      <c r="D10" s="79"/>
      <c r="E10" s="53"/>
    </row>
    <row r="11" spans="1:5" x14ac:dyDescent="0.3">
      <c r="A11" s="53"/>
      <c r="B11" s="53"/>
      <c r="C11" s="53"/>
      <c r="D11" s="53"/>
      <c r="E11" s="53"/>
    </row>
    <row r="12" spans="1:5" x14ac:dyDescent="0.3">
      <c r="A12" s="53"/>
      <c r="B12" s="53"/>
      <c r="C12" s="53"/>
      <c r="D12" s="50"/>
      <c r="E12" s="53"/>
    </row>
    <row r="13" spans="1:5" x14ac:dyDescent="0.3">
      <c r="A13" s="53" t="s">
        <v>44</v>
      </c>
      <c r="B13" s="53"/>
      <c r="C13" s="53"/>
      <c r="D13" s="53"/>
      <c r="E13" s="53"/>
    </row>
    <row r="14" spans="1:5" x14ac:dyDescent="0.3">
      <c r="A14" s="53" t="s">
        <v>45</v>
      </c>
      <c r="B14" s="53">
        <v>0.1</v>
      </c>
      <c r="C14" s="53"/>
      <c r="D14" s="53"/>
      <c r="E14" s="53"/>
    </row>
    <row r="15" spans="1:5" x14ac:dyDescent="0.3">
      <c r="A15" s="53" t="s">
        <v>46</v>
      </c>
      <c r="B15" s="53">
        <v>0.25</v>
      </c>
      <c r="C15" s="53"/>
      <c r="D15" s="79"/>
      <c r="E15" s="53"/>
    </row>
    <row r="16" spans="1:5" x14ac:dyDescent="0.3">
      <c r="A16" s="53" t="s">
        <v>47</v>
      </c>
      <c r="B16" s="53">
        <v>0.4</v>
      </c>
      <c r="C16" s="53"/>
      <c r="D16" s="79"/>
      <c r="E16" s="53"/>
    </row>
    <row r="17" spans="1:5" x14ac:dyDescent="0.3">
      <c r="A17" s="53" t="s">
        <v>48</v>
      </c>
      <c r="B17" s="53">
        <v>0.55000000000000004</v>
      </c>
      <c r="C17" s="53"/>
      <c r="D17" s="79"/>
      <c r="E17" s="53"/>
    </row>
    <row r="18" spans="1:5" x14ac:dyDescent="0.3">
      <c r="A18" s="53" t="s">
        <v>49</v>
      </c>
      <c r="B18" s="53">
        <v>0.7</v>
      </c>
      <c r="C18" s="53"/>
      <c r="D18" s="79"/>
      <c r="E18" s="53"/>
    </row>
    <row r="19" spans="1:5" x14ac:dyDescent="0.3">
      <c r="A19" s="53" t="s">
        <v>50</v>
      </c>
      <c r="B19" s="53">
        <v>0.85</v>
      </c>
      <c r="C19" s="53"/>
      <c r="D19" s="79"/>
      <c r="E19" s="53"/>
    </row>
    <row r="20" spans="1:5" x14ac:dyDescent="0.3">
      <c r="A20" s="53" t="s">
        <v>51</v>
      </c>
      <c r="B20" s="53">
        <v>1</v>
      </c>
      <c r="C20" s="53"/>
      <c r="D20" s="79"/>
      <c r="E20" s="53"/>
    </row>
    <row r="21" spans="1:5" x14ac:dyDescent="0.3">
      <c r="A21" s="53"/>
      <c r="B21" s="53"/>
      <c r="C21" s="53"/>
      <c r="D21" s="79"/>
      <c r="E21" s="53"/>
    </row>
  </sheetData>
  <mergeCells count="4">
    <mergeCell ref="A4:C4"/>
    <mergeCell ref="A2:C2"/>
    <mergeCell ref="A3:C3"/>
    <mergeCell ref="A6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A18"/>
  <sheetViews>
    <sheetView workbookViewId="0">
      <selection activeCell="B11" sqref="B11"/>
    </sheetView>
  </sheetViews>
  <sheetFormatPr baseColWidth="10" defaultColWidth="11.33203125" defaultRowHeight="14.4" x14ac:dyDescent="0.3"/>
  <cols>
    <col min="1" max="1" width="45" customWidth="1"/>
    <col min="2" max="2" width="19.109375" customWidth="1"/>
    <col min="3" max="3" width="13.109375" customWidth="1"/>
    <col min="4" max="4" width="13" customWidth="1"/>
    <col min="5" max="5" width="9.77734375" customWidth="1"/>
    <col min="42" max="53" width="10.6640625" customWidth="1"/>
  </cols>
  <sheetData>
    <row r="1" spans="1:53" x14ac:dyDescent="0.3"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 t="s">
        <v>2</v>
      </c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7" t="s">
        <v>3</v>
      </c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8" t="s">
        <v>4</v>
      </c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</row>
    <row r="2" spans="1:53" x14ac:dyDescent="0.3">
      <c r="F2" s="4">
        <v>43466</v>
      </c>
      <c r="G2" s="4">
        <v>43497</v>
      </c>
      <c r="H2" s="4">
        <v>43525</v>
      </c>
      <c r="I2" s="4">
        <v>43556</v>
      </c>
      <c r="J2" s="4">
        <v>43586</v>
      </c>
      <c r="K2" s="4">
        <v>43617</v>
      </c>
      <c r="L2" s="4">
        <v>43647</v>
      </c>
      <c r="M2" s="4">
        <v>43678</v>
      </c>
      <c r="N2" s="4">
        <v>43709</v>
      </c>
      <c r="O2" s="4">
        <v>43739</v>
      </c>
      <c r="P2" s="4">
        <v>43770</v>
      </c>
      <c r="Q2" s="4">
        <v>43800</v>
      </c>
      <c r="R2" s="4">
        <v>43831</v>
      </c>
      <c r="S2" s="4">
        <v>43862</v>
      </c>
      <c r="T2" s="4">
        <v>43891</v>
      </c>
      <c r="U2" s="4">
        <v>43922</v>
      </c>
      <c r="V2" s="4">
        <v>43952</v>
      </c>
      <c r="W2" s="4">
        <v>43983</v>
      </c>
      <c r="X2" s="4">
        <v>44013</v>
      </c>
      <c r="Y2" s="4">
        <v>44044</v>
      </c>
      <c r="Z2" s="4">
        <v>44075</v>
      </c>
      <c r="AA2" s="4">
        <v>44105</v>
      </c>
      <c r="AB2" s="4">
        <v>44136</v>
      </c>
      <c r="AC2" s="4">
        <v>44166</v>
      </c>
      <c r="AD2" s="4">
        <v>44197</v>
      </c>
      <c r="AE2" s="4">
        <v>44228</v>
      </c>
      <c r="AF2" s="4">
        <v>44256</v>
      </c>
      <c r="AG2" s="4">
        <v>44287</v>
      </c>
      <c r="AH2" s="4">
        <v>44317</v>
      </c>
      <c r="AI2" s="4">
        <v>44348</v>
      </c>
      <c r="AJ2" s="4">
        <v>44378</v>
      </c>
      <c r="AK2" s="4">
        <v>44409</v>
      </c>
      <c r="AL2" s="4">
        <v>44440</v>
      </c>
      <c r="AM2" s="4">
        <v>44470</v>
      </c>
      <c r="AN2" s="4">
        <v>44501</v>
      </c>
      <c r="AO2" s="4">
        <v>44531</v>
      </c>
      <c r="AP2" s="4">
        <v>44562</v>
      </c>
      <c r="AQ2" s="4">
        <v>44593</v>
      </c>
      <c r="AR2" s="4">
        <v>44621</v>
      </c>
      <c r="AS2" s="4">
        <v>44652</v>
      </c>
      <c r="AT2" s="4">
        <v>44682</v>
      </c>
      <c r="AU2" s="4">
        <v>44713</v>
      </c>
      <c r="AV2" s="4">
        <v>44743</v>
      </c>
      <c r="AW2" s="4">
        <v>44774</v>
      </c>
      <c r="AX2" s="4">
        <v>44805</v>
      </c>
      <c r="AY2" s="4">
        <v>44835</v>
      </c>
      <c r="AZ2" s="4">
        <v>44866</v>
      </c>
      <c r="BA2" s="4">
        <v>44896</v>
      </c>
    </row>
    <row r="3" spans="1:53" x14ac:dyDescent="0.3">
      <c r="F3" s="2">
        <v>1</v>
      </c>
      <c r="G3" s="2">
        <f t="shared" ref="G3:AL3" si="0">1+F3</f>
        <v>2</v>
      </c>
      <c r="H3" s="2">
        <f t="shared" si="0"/>
        <v>3</v>
      </c>
      <c r="I3" s="2">
        <f t="shared" si="0"/>
        <v>4</v>
      </c>
      <c r="J3" s="2">
        <f t="shared" si="0"/>
        <v>5</v>
      </c>
      <c r="K3" s="2">
        <f t="shared" si="0"/>
        <v>6</v>
      </c>
      <c r="L3" s="2">
        <f t="shared" si="0"/>
        <v>7</v>
      </c>
      <c r="M3" s="2">
        <f t="shared" si="0"/>
        <v>8</v>
      </c>
      <c r="N3" s="2">
        <f t="shared" si="0"/>
        <v>9</v>
      </c>
      <c r="O3" s="2">
        <f t="shared" si="0"/>
        <v>10</v>
      </c>
      <c r="P3" s="2">
        <f t="shared" si="0"/>
        <v>11</v>
      </c>
      <c r="Q3" s="2">
        <f t="shared" si="0"/>
        <v>12</v>
      </c>
      <c r="R3" s="2">
        <f t="shared" si="0"/>
        <v>13</v>
      </c>
      <c r="S3" s="2">
        <f t="shared" si="0"/>
        <v>14</v>
      </c>
      <c r="T3" s="2">
        <f t="shared" si="0"/>
        <v>15</v>
      </c>
      <c r="U3" s="2">
        <f t="shared" si="0"/>
        <v>16</v>
      </c>
      <c r="V3" s="2">
        <f t="shared" si="0"/>
        <v>17</v>
      </c>
      <c r="W3" s="2">
        <f t="shared" si="0"/>
        <v>18</v>
      </c>
      <c r="X3" s="2">
        <f t="shared" si="0"/>
        <v>19</v>
      </c>
      <c r="Y3" s="2">
        <f t="shared" si="0"/>
        <v>20</v>
      </c>
      <c r="Z3" s="2">
        <f t="shared" si="0"/>
        <v>21</v>
      </c>
      <c r="AA3" s="2">
        <f t="shared" si="0"/>
        <v>22</v>
      </c>
      <c r="AB3" s="2">
        <f t="shared" si="0"/>
        <v>23</v>
      </c>
      <c r="AC3" s="2">
        <f t="shared" si="0"/>
        <v>24</v>
      </c>
      <c r="AD3" s="2">
        <f t="shared" si="0"/>
        <v>25</v>
      </c>
      <c r="AE3" s="2">
        <f t="shared" si="0"/>
        <v>26</v>
      </c>
      <c r="AF3" s="2">
        <f t="shared" si="0"/>
        <v>27</v>
      </c>
      <c r="AG3" s="2">
        <f t="shared" si="0"/>
        <v>28</v>
      </c>
      <c r="AH3" s="2">
        <f t="shared" si="0"/>
        <v>29</v>
      </c>
      <c r="AI3" s="2">
        <f t="shared" si="0"/>
        <v>30</v>
      </c>
      <c r="AJ3" s="2">
        <f t="shared" si="0"/>
        <v>31</v>
      </c>
      <c r="AK3" s="2">
        <f t="shared" si="0"/>
        <v>32</v>
      </c>
      <c r="AL3" s="2">
        <f t="shared" si="0"/>
        <v>33</v>
      </c>
      <c r="AM3" s="2">
        <f t="shared" ref="AM3:BA3" si="1">1+AL3</f>
        <v>34</v>
      </c>
      <c r="AN3" s="2">
        <f t="shared" si="1"/>
        <v>35</v>
      </c>
      <c r="AO3" s="2">
        <f t="shared" si="1"/>
        <v>36</v>
      </c>
      <c r="AP3" s="2">
        <f t="shared" si="1"/>
        <v>37</v>
      </c>
      <c r="AQ3" s="2">
        <f t="shared" si="1"/>
        <v>38</v>
      </c>
      <c r="AR3" s="2">
        <f t="shared" si="1"/>
        <v>39</v>
      </c>
      <c r="AS3" s="2">
        <f t="shared" si="1"/>
        <v>40</v>
      </c>
      <c r="AT3" s="2">
        <f t="shared" si="1"/>
        <v>41</v>
      </c>
      <c r="AU3" s="2">
        <f t="shared" si="1"/>
        <v>42</v>
      </c>
      <c r="AV3" s="2">
        <f t="shared" si="1"/>
        <v>43</v>
      </c>
      <c r="AW3" s="2">
        <f t="shared" si="1"/>
        <v>44</v>
      </c>
      <c r="AX3" s="2">
        <f t="shared" si="1"/>
        <v>45</v>
      </c>
      <c r="AY3" s="2">
        <f t="shared" si="1"/>
        <v>46</v>
      </c>
      <c r="AZ3" s="2">
        <f t="shared" si="1"/>
        <v>47</v>
      </c>
      <c r="BA3" s="2">
        <f t="shared" si="1"/>
        <v>48</v>
      </c>
    </row>
    <row r="4" spans="1:53" x14ac:dyDescent="0.3">
      <c r="A4" s="2"/>
      <c r="B4" s="2"/>
      <c r="C4" s="2"/>
      <c r="D4" s="2"/>
      <c r="E4" s="2"/>
    </row>
    <row r="5" spans="1:53" x14ac:dyDescent="0.3">
      <c r="C5" s="19" t="s">
        <v>52</v>
      </c>
      <c r="D5" s="19" t="s">
        <v>53</v>
      </c>
      <c r="E5" s="30" t="s">
        <v>54</v>
      </c>
    </row>
    <row r="6" spans="1:53" x14ac:dyDescent="0.3">
      <c r="A6" s="18" t="s">
        <v>55</v>
      </c>
      <c r="B6" s="18" t="s">
        <v>5</v>
      </c>
      <c r="C6" s="80"/>
      <c r="D6" s="80"/>
      <c r="E6" s="82"/>
      <c r="F6" s="81">
        <v>2600</v>
      </c>
      <c r="G6" s="81">
        <v>2600</v>
      </c>
      <c r="H6" s="81">
        <v>2600</v>
      </c>
      <c r="I6" s="81">
        <v>2600</v>
      </c>
      <c r="J6" s="81">
        <v>2600</v>
      </c>
      <c r="K6" s="81">
        <v>2600</v>
      </c>
      <c r="L6" s="81">
        <v>2600</v>
      </c>
      <c r="M6" s="81">
        <v>2600</v>
      </c>
      <c r="N6" s="81">
        <v>2600</v>
      </c>
      <c r="O6" s="81">
        <v>2600</v>
      </c>
      <c r="P6" s="81">
        <v>2600</v>
      </c>
      <c r="Q6" s="81">
        <v>2600</v>
      </c>
      <c r="R6" s="81">
        <f>+$E$8</f>
        <v>5049.479166666667</v>
      </c>
      <c r="S6" s="81">
        <v>4000</v>
      </c>
      <c r="T6" s="81">
        <v>4000</v>
      </c>
      <c r="U6" s="81">
        <v>4000</v>
      </c>
      <c r="V6" s="81">
        <v>4000</v>
      </c>
      <c r="W6" s="81">
        <v>4000</v>
      </c>
      <c r="X6" s="81">
        <v>4000</v>
      </c>
      <c r="Y6" s="81">
        <v>4000</v>
      </c>
      <c r="Z6" s="81">
        <v>4000</v>
      </c>
      <c r="AA6" s="81">
        <v>4000</v>
      </c>
      <c r="AB6" s="81">
        <v>4000</v>
      </c>
      <c r="AC6" s="81">
        <v>4000</v>
      </c>
      <c r="AD6" s="86">
        <v>6000</v>
      </c>
      <c r="AE6" s="81">
        <v>6000</v>
      </c>
      <c r="AF6" s="81">
        <v>6000</v>
      </c>
      <c r="AG6" s="81">
        <v>6000</v>
      </c>
      <c r="AH6" s="81">
        <v>6000</v>
      </c>
      <c r="AI6" s="81">
        <v>6000</v>
      </c>
      <c r="AJ6" s="81">
        <v>6000</v>
      </c>
      <c r="AK6" s="81">
        <v>6000</v>
      </c>
      <c r="AL6" s="81">
        <v>6000</v>
      </c>
      <c r="AM6" s="81">
        <v>6000</v>
      </c>
      <c r="AN6" s="81">
        <v>6000</v>
      </c>
      <c r="AO6" s="81">
        <v>6000</v>
      </c>
      <c r="AP6" s="81">
        <v>6000</v>
      </c>
      <c r="AQ6" s="81">
        <v>6000</v>
      </c>
      <c r="AR6" s="81">
        <v>6000</v>
      </c>
      <c r="AS6" s="81">
        <v>6000</v>
      </c>
      <c r="AT6" s="81">
        <v>6000</v>
      </c>
      <c r="AU6" s="81">
        <v>6000</v>
      </c>
      <c r="AV6" s="81">
        <v>6000</v>
      </c>
      <c r="AW6" s="81">
        <v>6000</v>
      </c>
      <c r="AX6" s="81">
        <v>6000</v>
      </c>
      <c r="AY6" s="81">
        <v>6000</v>
      </c>
      <c r="AZ6" s="81">
        <v>6000</v>
      </c>
      <c r="BA6" s="81">
        <v>6000</v>
      </c>
    </row>
    <row r="7" spans="1:53" x14ac:dyDescent="0.3">
      <c r="A7" s="18" t="s">
        <v>56</v>
      </c>
      <c r="B7" s="18" t="s">
        <v>6</v>
      </c>
      <c r="C7" s="84"/>
      <c r="D7" s="80"/>
      <c r="E7" s="80"/>
      <c r="F7" s="80">
        <v>2800</v>
      </c>
      <c r="G7" s="80">
        <v>2800</v>
      </c>
      <c r="H7" s="80">
        <v>2800</v>
      </c>
      <c r="I7" s="80">
        <v>2800</v>
      </c>
      <c r="J7" s="80">
        <v>2800</v>
      </c>
      <c r="K7" s="80">
        <v>2800</v>
      </c>
      <c r="L7" s="80">
        <v>2800</v>
      </c>
      <c r="M7" s="80">
        <v>2800</v>
      </c>
      <c r="N7" s="80">
        <v>2800</v>
      </c>
      <c r="O7" s="80">
        <v>2800</v>
      </c>
      <c r="P7" s="80">
        <v>2800</v>
      </c>
      <c r="Q7" s="80">
        <v>2800</v>
      </c>
      <c r="R7" s="81">
        <v>4000</v>
      </c>
      <c r="S7" s="81">
        <v>4000</v>
      </c>
      <c r="T7" s="81">
        <v>4000</v>
      </c>
      <c r="U7" s="81">
        <v>4000</v>
      </c>
      <c r="V7" s="81">
        <v>4000</v>
      </c>
      <c r="W7" s="81">
        <v>4000</v>
      </c>
      <c r="X7" s="81">
        <v>4000</v>
      </c>
      <c r="Y7" s="81">
        <v>4000</v>
      </c>
      <c r="Z7" s="81">
        <v>4000</v>
      </c>
      <c r="AA7" s="81">
        <v>4000</v>
      </c>
      <c r="AB7" s="81">
        <v>4000</v>
      </c>
      <c r="AC7" s="81">
        <v>4000</v>
      </c>
      <c r="AD7" s="84">
        <v>4500</v>
      </c>
      <c r="AE7" s="80">
        <v>4500</v>
      </c>
      <c r="AF7" s="80">
        <v>4500</v>
      </c>
      <c r="AG7" s="80">
        <v>4500</v>
      </c>
      <c r="AH7" s="80">
        <v>4500</v>
      </c>
      <c r="AI7" s="80">
        <v>4500</v>
      </c>
      <c r="AJ7" s="80">
        <v>4500</v>
      </c>
      <c r="AK7" s="80">
        <v>4500</v>
      </c>
      <c r="AL7" s="80">
        <v>4500</v>
      </c>
      <c r="AM7" s="80">
        <v>4500</v>
      </c>
      <c r="AN7" s="80">
        <v>4500</v>
      </c>
      <c r="AO7" s="80">
        <v>4500</v>
      </c>
      <c r="AP7" s="81">
        <v>4500</v>
      </c>
      <c r="AQ7" s="81">
        <v>4500</v>
      </c>
      <c r="AR7" s="81">
        <v>4500</v>
      </c>
      <c r="AS7" s="81">
        <v>4500</v>
      </c>
      <c r="AT7" s="81">
        <v>4500</v>
      </c>
      <c r="AU7" s="81">
        <v>4500</v>
      </c>
      <c r="AV7" s="81">
        <v>4500</v>
      </c>
      <c r="AW7" s="81">
        <v>4500</v>
      </c>
      <c r="AX7" s="81">
        <v>4500</v>
      </c>
      <c r="AY7" s="81">
        <v>4500</v>
      </c>
      <c r="AZ7" s="81">
        <v>4500</v>
      </c>
      <c r="BA7" s="81">
        <v>4500</v>
      </c>
    </row>
    <row r="8" spans="1:53" x14ac:dyDescent="0.3">
      <c r="A8" s="18" t="s">
        <v>57</v>
      </c>
      <c r="B8" s="18"/>
      <c r="C8" s="84">
        <v>3500</v>
      </c>
      <c r="D8" s="80">
        <f>13.85*1.25*C8</f>
        <v>60593.75</v>
      </c>
      <c r="E8" s="80">
        <f t="shared" ref="E8" si="2">+D8/12</f>
        <v>5049.479166666667</v>
      </c>
      <c r="F8" s="6"/>
      <c r="G8" s="6"/>
      <c r="H8" s="6"/>
      <c r="I8" s="6"/>
      <c r="J8" s="81"/>
      <c r="K8" s="81"/>
      <c r="L8" s="81"/>
      <c r="M8" s="81"/>
      <c r="N8" s="81"/>
      <c r="O8" s="81"/>
      <c r="P8" s="81">
        <f>+$E$8</f>
        <v>5049.479166666667</v>
      </c>
      <c r="Q8" s="81">
        <f>+$E$8</f>
        <v>5049.479166666667</v>
      </c>
      <c r="R8" s="81">
        <f t="shared" ref="R8:AC9" si="3">+$E$8*1.03</f>
        <v>5200.963541666667</v>
      </c>
      <c r="S8" s="81">
        <f t="shared" si="3"/>
        <v>5200.963541666667</v>
      </c>
      <c r="T8" s="81">
        <f t="shared" si="3"/>
        <v>5200.963541666667</v>
      </c>
      <c r="U8" s="81">
        <f t="shared" si="3"/>
        <v>5200.963541666667</v>
      </c>
      <c r="V8" s="81">
        <f t="shared" si="3"/>
        <v>5200.963541666667</v>
      </c>
      <c r="W8" s="81">
        <f t="shared" si="3"/>
        <v>5200.963541666667</v>
      </c>
      <c r="X8" s="81">
        <f t="shared" si="3"/>
        <v>5200.963541666667</v>
      </c>
      <c r="Y8" s="81">
        <f t="shared" si="3"/>
        <v>5200.963541666667</v>
      </c>
      <c r="Z8" s="81">
        <f t="shared" si="3"/>
        <v>5200.963541666667</v>
      </c>
      <c r="AA8" s="81">
        <f t="shared" si="3"/>
        <v>5200.963541666667</v>
      </c>
      <c r="AB8" s="81">
        <f t="shared" si="3"/>
        <v>5200.963541666667</v>
      </c>
      <c r="AC8" s="81">
        <f t="shared" si="3"/>
        <v>5200.963541666667</v>
      </c>
      <c r="AD8" s="86">
        <f>+AC8*1.03</f>
        <v>5356.9924479166675</v>
      </c>
      <c r="AE8" s="81">
        <v>3826.4231770833335</v>
      </c>
      <c r="AF8" s="81">
        <v>3826.4231770833335</v>
      </c>
      <c r="AG8" s="81">
        <v>3826.4231770833335</v>
      </c>
      <c r="AH8" s="81">
        <v>3826.4231770833335</v>
      </c>
      <c r="AI8" s="81">
        <v>3826.4231770833335</v>
      </c>
      <c r="AJ8" s="81">
        <v>3826.4231770833335</v>
      </c>
      <c r="AK8" s="81">
        <v>3826.4231770833335</v>
      </c>
      <c r="AL8" s="81">
        <v>3826.4231770833335</v>
      </c>
      <c r="AM8" s="81">
        <v>3826.4231770833335</v>
      </c>
      <c r="AN8" s="81">
        <v>3826.4231770833335</v>
      </c>
      <c r="AO8" s="81">
        <v>3826.4231770833335</v>
      </c>
      <c r="AP8" s="81">
        <f>$AO8*1.03</f>
        <v>3941.2158723958337</v>
      </c>
      <c r="AQ8" s="81">
        <f t="shared" ref="AQ8:BA8" si="4">$AO8*1.03</f>
        <v>3941.2158723958337</v>
      </c>
      <c r="AR8" s="81">
        <f t="shared" si="4"/>
        <v>3941.2158723958337</v>
      </c>
      <c r="AS8" s="81">
        <f t="shared" si="4"/>
        <v>3941.2158723958337</v>
      </c>
      <c r="AT8" s="81">
        <f t="shared" si="4"/>
        <v>3941.2158723958337</v>
      </c>
      <c r="AU8" s="81">
        <f t="shared" si="4"/>
        <v>3941.2158723958337</v>
      </c>
      <c r="AV8" s="81">
        <f t="shared" si="4"/>
        <v>3941.2158723958337</v>
      </c>
      <c r="AW8" s="81">
        <f t="shared" si="4"/>
        <v>3941.2158723958337</v>
      </c>
      <c r="AX8" s="81">
        <f t="shared" si="4"/>
        <v>3941.2158723958337</v>
      </c>
      <c r="AY8" s="81">
        <f t="shared" si="4"/>
        <v>3941.2158723958337</v>
      </c>
      <c r="AZ8" s="81">
        <f t="shared" si="4"/>
        <v>3941.2158723958337</v>
      </c>
      <c r="BA8" s="81">
        <f t="shared" si="4"/>
        <v>3941.2158723958337</v>
      </c>
    </row>
    <row r="9" spans="1:53" x14ac:dyDescent="0.3">
      <c r="A9" s="18" t="s">
        <v>58</v>
      </c>
      <c r="B9" s="18"/>
      <c r="C9" s="84">
        <v>3500</v>
      </c>
      <c r="D9" s="80">
        <f>13.85*1.25*C9</f>
        <v>60593.75</v>
      </c>
      <c r="E9" s="80">
        <f t="shared" ref="E9" si="5">+D9/12</f>
        <v>5049.479166666667</v>
      </c>
      <c r="F9" s="6"/>
      <c r="G9" s="6"/>
      <c r="H9" s="6"/>
      <c r="I9" s="6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6"/>
      <c r="V9" s="86"/>
      <c r="W9" s="86"/>
      <c r="X9" s="81">
        <f t="shared" si="3"/>
        <v>5200.963541666667</v>
      </c>
      <c r="Y9" s="81">
        <f t="shared" si="3"/>
        <v>5200.963541666667</v>
      </c>
      <c r="Z9" s="81">
        <f t="shared" si="3"/>
        <v>5200.963541666667</v>
      </c>
      <c r="AA9" s="81">
        <f t="shared" si="3"/>
        <v>5200.963541666667</v>
      </c>
      <c r="AB9" s="81">
        <f t="shared" si="3"/>
        <v>5200.963541666667</v>
      </c>
      <c r="AC9" s="81">
        <f t="shared" si="3"/>
        <v>5200.963541666667</v>
      </c>
      <c r="AD9" s="81">
        <f>+AC9*1.03</f>
        <v>5356.9924479166675</v>
      </c>
      <c r="AE9" s="81">
        <v>3826.4231770833335</v>
      </c>
      <c r="AF9" s="81">
        <v>3826.4231770833335</v>
      </c>
      <c r="AG9" s="81">
        <v>3826.4231770833335</v>
      </c>
      <c r="AH9" s="81">
        <v>3826.4231770833335</v>
      </c>
      <c r="AI9" s="81">
        <v>3826.4231770833335</v>
      </c>
      <c r="AJ9" s="81">
        <v>3826.4231770833335</v>
      </c>
      <c r="AK9" s="81">
        <v>3826.4231770833335</v>
      </c>
      <c r="AL9" s="81">
        <v>3826.4231770833335</v>
      </c>
      <c r="AM9" s="81">
        <v>3826.4231770833335</v>
      </c>
      <c r="AN9" s="81">
        <v>3826.4231770833335</v>
      </c>
      <c r="AO9" s="81">
        <v>3826.4231770833335</v>
      </c>
      <c r="AP9" s="81">
        <f t="shared" ref="AP9:BA16" si="6">$AO9*1.03</f>
        <v>3941.2158723958337</v>
      </c>
      <c r="AQ9" s="81">
        <f t="shared" si="6"/>
        <v>3941.2158723958337</v>
      </c>
      <c r="AR9" s="81">
        <f t="shared" si="6"/>
        <v>3941.2158723958337</v>
      </c>
      <c r="AS9" s="81">
        <f t="shared" si="6"/>
        <v>3941.2158723958337</v>
      </c>
      <c r="AT9" s="81">
        <f t="shared" si="6"/>
        <v>3941.2158723958337</v>
      </c>
      <c r="AU9" s="81">
        <f t="shared" si="6"/>
        <v>3941.2158723958337</v>
      </c>
      <c r="AV9" s="81">
        <f t="shared" si="6"/>
        <v>3941.2158723958337</v>
      </c>
      <c r="AW9" s="81">
        <f t="shared" si="6"/>
        <v>3941.2158723958337</v>
      </c>
      <c r="AX9" s="81">
        <f t="shared" si="6"/>
        <v>3941.2158723958337</v>
      </c>
      <c r="AY9" s="81">
        <f t="shared" si="6"/>
        <v>3941.2158723958337</v>
      </c>
      <c r="AZ9" s="81">
        <f t="shared" si="6"/>
        <v>3941.2158723958337</v>
      </c>
      <c r="BA9" s="81">
        <f t="shared" si="6"/>
        <v>3941.2158723958337</v>
      </c>
    </row>
    <row r="10" spans="1:53" x14ac:dyDescent="0.3">
      <c r="A10" s="18" t="s">
        <v>59</v>
      </c>
      <c r="C10" s="6"/>
      <c r="D10" s="6"/>
      <c r="E10" s="82"/>
      <c r="F10" s="6"/>
      <c r="G10" s="6"/>
      <c r="H10" s="6"/>
      <c r="I10" s="6"/>
      <c r="J10" s="6"/>
      <c r="K10" s="6"/>
      <c r="L10" s="6"/>
      <c r="M10" s="6"/>
      <c r="N10" s="81"/>
      <c r="O10" s="81"/>
      <c r="P10" s="81"/>
      <c r="Q10" s="81"/>
      <c r="R10" s="81"/>
      <c r="S10" s="81"/>
      <c r="T10" s="81"/>
      <c r="U10" s="86"/>
      <c r="V10" s="86"/>
      <c r="W10" s="86"/>
      <c r="X10" s="81">
        <f t="shared" ref="X10:AC11" si="7">+$E$8*1.03</f>
        <v>5200.963541666667</v>
      </c>
      <c r="Y10" s="81">
        <f t="shared" si="7"/>
        <v>5200.963541666667</v>
      </c>
      <c r="Z10" s="81">
        <f t="shared" si="7"/>
        <v>5200.963541666667</v>
      </c>
      <c r="AA10" s="81">
        <f t="shared" si="7"/>
        <v>5200.963541666667</v>
      </c>
      <c r="AB10" s="81">
        <f t="shared" si="7"/>
        <v>5200.963541666667</v>
      </c>
      <c r="AC10" s="81">
        <f t="shared" si="7"/>
        <v>5200.963541666667</v>
      </c>
      <c r="AD10" s="81">
        <f t="shared" ref="AD10:AD11" si="8">+AC10*1.03</f>
        <v>5356.9924479166675</v>
      </c>
      <c r="AE10" s="81">
        <v>3826.4231770833335</v>
      </c>
      <c r="AF10" s="81">
        <v>3826.4231770833335</v>
      </c>
      <c r="AG10" s="81">
        <v>3826.4231770833335</v>
      </c>
      <c r="AH10" s="81">
        <v>3826.4231770833335</v>
      </c>
      <c r="AI10" s="81">
        <v>3826.4231770833335</v>
      </c>
      <c r="AJ10" s="81">
        <v>3826.4231770833335</v>
      </c>
      <c r="AK10" s="81">
        <v>3826.4231770833335</v>
      </c>
      <c r="AL10" s="81">
        <v>3826.4231770833335</v>
      </c>
      <c r="AM10" s="81">
        <v>3826.4231770833335</v>
      </c>
      <c r="AN10" s="81">
        <v>3826.4231770833335</v>
      </c>
      <c r="AO10" s="81">
        <v>3826.4231770833335</v>
      </c>
      <c r="AP10" s="81">
        <f t="shared" si="6"/>
        <v>3941.2158723958337</v>
      </c>
      <c r="AQ10" s="81">
        <f t="shared" si="6"/>
        <v>3941.2158723958337</v>
      </c>
      <c r="AR10" s="81">
        <f t="shared" si="6"/>
        <v>3941.2158723958337</v>
      </c>
      <c r="AS10" s="81">
        <f t="shared" si="6"/>
        <v>3941.2158723958337</v>
      </c>
      <c r="AT10" s="81">
        <f t="shared" si="6"/>
        <v>3941.2158723958337</v>
      </c>
      <c r="AU10" s="81">
        <f t="shared" si="6"/>
        <v>3941.2158723958337</v>
      </c>
      <c r="AV10" s="81">
        <f t="shared" si="6"/>
        <v>3941.2158723958337</v>
      </c>
      <c r="AW10" s="81">
        <f t="shared" si="6"/>
        <v>3941.2158723958337</v>
      </c>
      <c r="AX10" s="81">
        <f t="shared" si="6"/>
        <v>3941.2158723958337</v>
      </c>
      <c r="AY10" s="81">
        <f t="shared" si="6"/>
        <v>3941.2158723958337</v>
      </c>
      <c r="AZ10" s="81">
        <f t="shared" si="6"/>
        <v>3941.2158723958337</v>
      </c>
      <c r="BA10" s="81">
        <f t="shared" si="6"/>
        <v>3941.2158723958337</v>
      </c>
    </row>
    <row r="11" spans="1:53" x14ac:dyDescent="0.3">
      <c r="A11" s="18" t="s">
        <v>60</v>
      </c>
      <c r="C11" s="6"/>
      <c r="D11" s="6"/>
      <c r="E11" s="82"/>
      <c r="F11" s="6"/>
      <c r="G11" s="6"/>
      <c r="H11" s="6"/>
      <c r="I11" s="6"/>
      <c r="J11" s="6"/>
      <c r="K11" s="6"/>
      <c r="L11" s="6"/>
      <c r="M11" s="6"/>
      <c r="N11" s="81"/>
      <c r="O11" s="81"/>
      <c r="P11" s="81"/>
      <c r="Q11" s="81"/>
      <c r="R11" s="81"/>
      <c r="S11" s="81"/>
      <c r="T11" s="81"/>
      <c r="U11" s="86"/>
      <c r="V11" s="86"/>
      <c r="W11" s="86"/>
      <c r="X11" s="81">
        <f t="shared" si="7"/>
        <v>5200.963541666667</v>
      </c>
      <c r="Y11" s="81">
        <f t="shared" si="7"/>
        <v>5200.963541666667</v>
      </c>
      <c r="Z11" s="81">
        <f t="shared" si="7"/>
        <v>5200.963541666667</v>
      </c>
      <c r="AA11" s="81">
        <f t="shared" si="7"/>
        <v>5200.963541666667</v>
      </c>
      <c r="AB11" s="81">
        <f t="shared" si="7"/>
        <v>5200.963541666667</v>
      </c>
      <c r="AC11" s="81">
        <f t="shared" si="7"/>
        <v>5200.963541666667</v>
      </c>
      <c r="AD11" s="81">
        <f t="shared" si="8"/>
        <v>5356.9924479166675</v>
      </c>
      <c r="AE11" s="81">
        <v>3826.4231770833335</v>
      </c>
      <c r="AF11" s="81">
        <v>3826.4231770833335</v>
      </c>
      <c r="AG11" s="81">
        <v>3826.4231770833335</v>
      </c>
      <c r="AH11" s="81">
        <v>3826.4231770833335</v>
      </c>
      <c r="AI11" s="81">
        <v>3826.4231770833335</v>
      </c>
      <c r="AJ11" s="81">
        <v>3826.4231770833335</v>
      </c>
      <c r="AK11" s="81">
        <v>3826.4231770833335</v>
      </c>
      <c r="AL11" s="81">
        <v>3826.4231770833335</v>
      </c>
      <c r="AM11" s="81">
        <v>3826.4231770833335</v>
      </c>
      <c r="AN11" s="81">
        <v>3826.4231770833335</v>
      </c>
      <c r="AO11" s="81">
        <v>3826.4231770833335</v>
      </c>
      <c r="AP11" s="81">
        <f t="shared" si="6"/>
        <v>3941.2158723958337</v>
      </c>
      <c r="AQ11" s="81">
        <f t="shared" si="6"/>
        <v>3941.2158723958337</v>
      </c>
      <c r="AR11" s="81">
        <f t="shared" si="6"/>
        <v>3941.2158723958337</v>
      </c>
      <c r="AS11" s="81">
        <f t="shared" si="6"/>
        <v>3941.2158723958337</v>
      </c>
      <c r="AT11" s="81">
        <f t="shared" si="6"/>
        <v>3941.2158723958337</v>
      </c>
      <c r="AU11" s="81">
        <f t="shared" si="6"/>
        <v>3941.2158723958337</v>
      </c>
      <c r="AV11" s="81">
        <f t="shared" si="6"/>
        <v>3941.2158723958337</v>
      </c>
      <c r="AW11" s="81">
        <f t="shared" si="6"/>
        <v>3941.2158723958337</v>
      </c>
      <c r="AX11" s="81">
        <f t="shared" si="6"/>
        <v>3941.2158723958337</v>
      </c>
      <c r="AY11" s="81">
        <f t="shared" si="6"/>
        <v>3941.2158723958337</v>
      </c>
      <c r="AZ11" s="81">
        <f t="shared" si="6"/>
        <v>3941.2158723958337</v>
      </c>
      <c r="BA11" s="81">
        <f t="shared" si="6"/>
        <v>3941.2158723958337</v>
      </c>
    </row>
    <row r="12" spans="1:53" x14ac:dyDescent="0.3">
      <c r="A12" s="18" t="s">
        <v>63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81"/>
      <c r="O12" s="81"/>
      <c r="P12" s="81"/>
      <c r="Q12" s="81"/>
      <c r="R12" s="81"/>
      <c r="S12" s="81"/>
      <c r="T12" s="81"/>
      <c r="U12" s="86"/>
      <c r="V12" s="86"/>
      <c r="W12" s="86"/>
      <c r="X12" s="81"/>
      <c r="Y12" s="81"/>
      <c r="Z12" s="86">
        <f>+$E$8*1.03*2</f>
        <v>10401.927083333334</v>
      </c>
      <c r="AA12" s="86">
        <f t="shared" ref="AA12:AO13" si="9">+$E$8*1.03*2</f>
        <v>10401.927083333334</v>
      </c>
      <c r="AB12" s="86">
        <f t="shared" si="9"/>
        <v>10401.927083333334</v>
      </c>
      <c r="AC12" s="86">
        <f t="shared" si="9"/>
        <v>10401.927083333334</v>
      </c>
      <c r="AD12" s="81">
        <f t="shared" si="9"/>
        <v>10401.927083333334</v>
      </c>
      <c r="AE12" s="81">
        <f t="shared" si="9"/>
        <v>10401.927083333334</v>
      </c>
      <c r="AF12" s="81">
        <f t="shared" si="9"/>
        <v>10401.927083333334</v>
      </c>
      <c r="AG12" s="81">
        <f t="shared" si="9"/>
        <v>10401.927083333334</v>
      </c>
      <c r="AH12" s="81">
        <f t="shared" si="9"/>
        <v>10401.927083333334</v>
      </c>
      <c r="AI12" s="81">
        <f t="shared" si="9"/>
        <v>10401.927083333334</v>
      </c>
      <c r="AJ12" s="81">
        <f t="shared" si="9"/>
        <v>10401.927083333334</v>
      </c>
      <c r="AK12" s="81">
        <f t="shared" si="9"/>
        <v>10401.927083333334</v>
      </c>
      <c r="AL12" s="81">
        <f t="shared" si="9"/>
        <v>10401.927083333334</v>
      </c>
      <c r="AM12" s="81">
        <f t="shared" si="9"/>
        <v>10401.927083333334</v>
      </c>
      <c r="AN12" s="81">
        <f t="shared" si="9"/>
        <v>10401.927083333334</v>
      </c>
      <c r="AO12" s="81">
        <f t="shared" si="9"/>
        <v>10401.927083333334</v>
      </c>
      <c r="AP12" s="81">
        <f t="shared" si="6"/>
        <v>10713.984895833335</v>
      </c>
      <c r="AQ12" s="81">
        <f t="shared" si="6"/>
        <v>10713.984895833335</v>
      </c>
      <c r="AR12" s="81">
        <f t="shared" si="6"/>
        <v>10713.984895833335</v>
      </c>
      <c r="AS12" s="81">
        <f t="shared" si="6"/>
        <v>10713.984895833335</v>
      </c>
      <c r="AT12" s="81">
        <f t="shared" si="6"/>
        <v>10713.984895833335</v>
      </c>
      <c r="AU12" s="81">
        <f t="shared" si="6"/>
        <v>10713.984895833335</v>
      </c>
      <c r="AV12" s="81">
        <f t="shared" si="6"/>
        <v>10713.984895833335</v>
      </c>
      <c r="AW12" s="81">
        <f t="shared" si="6"/>
        <v>10713.984895833335</v>
      </c>
      <c r="AX12" s="81">
        <f t="shared" si="6"/>
        <v>10713.984895833335</v>
      </c>
      <c r="AY12" s="81">
        <f t="shared" si="6"/>
        <v>10713.984895833335</v>
      </c>
      <c r="AZ12" s="81">
        <f t="shared" si="6"/>
        <v>10713.984895833335</v>
      </c>
      <c r="BA12" s="81">
        <f t="shared" si="6"/>
        <v>10713.984895833335</v>
      </c>
    </row>
    <row r="13" spans="1:53" x14ac:dyDescent="0.3">
      <c r="A13" s="18" t="s">
        <v>64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81"/>
      <c r="O13" s="81"/>
      <c r="P13" s="81"/>
      <c r="Q13" s="81"/>
      <c r="R13" s="81"/>
      <c r="S13" s="81"/>
      <c r="T13" s="81"/>
      <c r="U13" s="86"/>
      <c r="V13" s="86"/>
      <c r="W13" s="86"/>
      <c r="X13" s="81"/>
      <c r="Y13" s="81"/>
      <c r="Z13" s="86">
        <f>+$E$8*1.03*2</f>
        <v>10401.927083333334</v>
      </c>
      <c r="AA13" s="86">
        <f t="shared" si="9"/>
        <v>10401.927083333334</v>
      </c>
      <c r="AB13" s="86">
        <f t="shared" si="9"/>
        <v>10401.927083333334</v>
      </c>
      <c r="AC13" s="86">
        <f t="shared" si="9"/>
        <v>10401.927083333334</v>
      </c>
      <c r="AD13" s="81">
        <f t="shared" si="9"/>
        <v>10401.927083333334</v>
      </c>
      <c r="AE13" s="81">
        <f t="shared" si="9"/>
        <v>10401.927083333334</v>
      </c>
      <c r="AF13" s="81">
        <f t="shared" si="9"/>
        <v>10401.927083333334</v>
      </c>
      <c r="AG13" s="81">
        <f t="shared" si="9"/>
        <v>10401.927083333334</v>
      </c>
      <c r="AH13" s="81">
        <f t="shared" si="9"/>
        <v>10401.927083333334</v>
      </c>
      <c r="AI13" s="81">
        <f t="shared" si="9"/>
        <v>10401.927083333334</v>
      </c>
      <c r="AJ13" s="81">
        <f t="shared" si="9"/>
        <v>10401.927083333334</v>
      </c>
      <c r="AK13" s="81">
        <f t="shared" si="9"/>
        <v>10401.927083333334</v>
      </c>
      <c r="AL13" s="81">
        <f t="shared" si="9"/>
        <v>10401.927083333334</v>
      </c>
      <c r="AM13" s="81">
        <f t="shared" si="9"/>
        <v>10401.927083333334</v>
      </c>
      <c r="AN13" s="81">
        <f t="shared" si="9"/>
        <v>10401.927083333334</v>
      </c>
      <c r="AO13" s="81">
        <f t="shared" si="9"/>
        <v>10401.927083333334</v>
      </c>
      <c r="AP13" s="81">
        <f t="shared" si="6"/>
        <v>10713.984895833335</v>
      </c>
      <c r="AQ13" s="81">
        <f t="shared" si="6"/>
        <v>10713.984895833335</v>
      </c>
      <c r="AR13" s="81">
        <f t="shared" si="6"/>
        <v>10713.984895833335</v>
      </c>
      <c r="AS13" s="81">
        <f t="shared" si="6"/>
        <v>10713.984895833335</v>
      </c>
      <c r="AT13" s="81">
        <f t="shared" si="6"/>
        <v>10713.984895833335</v>
      </c>
      <c r="AU13" s="81">
        <f t="shared" si="6"/>
        <v>10713.984895833335</v>
      </c>
      <c r="AV13" s="81">
        <f t="shared" si="6"/>
        <v>10713.984895833335</v>
      </c>
      <c r="AW13" s="81">
        <f t="shared" si="6"/>
        <v>10713.984895833335</v>
      </c>
      <c r="AX13" s="81">
        <f t="shared" si="6"/>
        <v>10713.984895833335</v>
      </c>
      <c r="AY13" s="81">
        <f t="shared" si="6"/>
        <v>10713.984895833335</v>
      </c>
      <c r="AZ13" s="81">
        <f t="shared" si="6"/>
        <v>10713.984895833335</v>
      </c>
      <c r="BA13" s="81">
        <f t="shared" si="6"/>
        <v>10713.984895833335</v>
      </c>
    </row>
    <row r="14" spans="1:53" x14ac:dyDescent="0.3">
      <c r="A14" s="18" t="s">
        <v>61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81"/>
      <c r="O14" s="81"/>
      <c r="P14" s="81"/>
      <c r="Q14" s="81"/>
      <c r="R14" s="81"/>
      <c r="S14" s="81"/>
      <c r="T14" s="81"/>
      <c r="U14" s="86"/>
      <c r="V14" s="86"/>
      <c r="W14" s="86"/>
      <c r="X14" s="81">
        <v>2500</v>
      </c>
      <c r="Y14" s="81">
        <v>2500</v>
      </c>
      <c r="Z14" s="81">
        <v>2500</v>
      </c>
      <c r="AA14" s="81">
        <v>2500</v>
      </c>
      <c r="AB14" s="81">
        <v>2500</v>
      </c>
      <c r="AC14" s="81">
        <v>2500</v>
      </c>
      <c r="AD14" s="81">
        <f>AC14*1.03</f>
        <v>2575</v>
      </c>
      <c r="AE14" s="81">
        <v>2575</v>
      </c>
      <c r="AF14" s="81">
        <v>2575</v>
      </c>
      <c r="AG14" s="81">
        <v>2575</v>
      </c>
      <c r="AH14" s="81">
        <v>2575</v>
      </c>
      <c r="AI14" s="81">
        <v>2575</v>
      </c>
      <c r="AJ14" s="81">
        <v>2575</v>
      </c>
      <c r="AK14" s="81">
        <v>2575</v>
      </c>
      <c r="AL14" s="81">
        <v>2575</v>
      </c>
      <c r="AM14" s="81">
        <v>2575</v>
      </c>
      <c r="AN14" s="81">
        <v>2575</v>
      </c>
      <c r="AO14" s="81">
        <v>2575</v>
      </c>
      <c r="AP14" s="81">
        <f t="shared" si="6"/>
        <v>2652.25</v>
      </c>
      <c r="AQ14" s="81">
        <f t="shared" si="6"/>
        <v>2652.25</v>
      </c>
      <c r="AR14" s="81">
        <f t="shared" si="6"/>
        <v>2652.25</v>
      </c>
      <c r="AS14" s="81">
        <f t="shared" si="6"/>
        <v>2652.25</v>
      </c>
      <c r="AT14" s="81">
        <f t="shared" si="6"/>
        <v>2652.25</v>
      </c>
      <c r="AU14" s="81">
        <f t="shared" si="6"/>
        <v>2652.25</v>
      </c>
      <c r="AV14" s="81">
        <f t="shared" si="6"/>
        <v>2652.25</v>
      </c>
      <c r="AW14" s="81">
        <f t="shared" si="6"/>
        <v>2652.25</v>
      </c>
      <c r="AX14" s="81">
        <f t="shared" si="6"/>
        <v>2652.25</v>
      </c>
      <c r="AY14" s="81">
        <f t="shared" si="6"/>
        <v>2652.25</v>
      </c>
      <c r="AZ14" s="81">
        <f t="shared" si="6"/>
        <v>2652.25</v>
      </c>
      <c r="BA14" s="81">
        <f t="shared" si="6"/>
        <v>2652.25</v>
      </c>
    </row>
    <row r="15" spans="1:53" x14ac:dyDescent="0.3">
      <c r="A15" s="18" t="s">
        <v>61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81"/>
      <c r="O15" s="81"/>
      <c r="P15" s="81"/>
      <c r="Q15" s="81"/>
      <c r="R15" s="81"/>
      <c r="S15" s="81"/>
      <c r="T15" s="81"/>
      <c r="U15" s="86"/>
      <c r="V15" s="86"/>
      <c r="W15" s="86"/>
      <c r="X15" s="81"/>
      <c r="Y15" s="81"/>
      <c r="Z15" s="81">
        <v>2500</v>
      </c>
      <c r="AA15" s="81">
        <v>2500</v>
      </c>
      <c r="AB15" s="81">
        <v>2500</v>
      </c>
      <c r="AC15" s="81">
        <v>2500</v>
      </c>
      <c r="AD15" s="81">
        <f>AC15*1.03</f>
        <v>2575</v>
      </c>
      <c r="AE15" s="81">
        <v>2575</v>
      </c>
      <c r="AF15" s="81">
        <v>2575</v>
      </c>
      <c r="AG15" s="81">
        <v>2575</v>
      </c>
      <c r="AH15" s="81">
        <v>2575</v>
      </c>
      <c r="AI15" s="81">
        <v>2575</v>
      </c>
      <c r="AJ15" s="81">
        <v>2575</v>
      </c>
      <c r="AK15" s="81">
        <v>2575</v>
      </c>
      <c r="AL15" s="81">
        <v>2575</v>
      </c>
      <c r="AM15" s="81">
        <v>2575</v>
      </c>
      <c r="AN15" s="81">
        <v>2575</v>
      </c>
      <c r="AO15" s="81">
        <v>2575</v>
      </c>
      <c r="AP15" s="81">
        <f t="shared" si="6"/>
        <v>2652.25</v>
      </c>
      <c r="AQ15" s="81">
        <f t="shared" si="6"/>
        <v>2652.25</v>
      </c>
      <c r="AR15" s="81">
        <f t="shared" si="6"/>
        <v>2652.25</v>
      </c>
      <c r="AS15" s="81">
        <f t="shared" si="6"/>
        <v>2652.25</v>
      </c>
      <c r="AT15" s="81">
        <f t="shared" si="6"/>
        <v>2652.25</v>
      </c>
      <c r="AU15" s="81">
        <f t="shared" si="6"/>
        <v>2652.25</v>
      </c>
      <c r="AV15" s="81">
        <f t="shared" si="6"/>
        <v>2652.25</v>
      </c>
      <c r="AW15" s="81">
        <f t="shared" si="6"/>
        <v>2652.25</v>
      </c>
      <c r="AX15" s="81">
        <f t="shared" si="6"/>
        <v>2652.25</v>
      </c>
      <c r="AY15" s="81">
        <f t="shared" si="6"/>
        <v>2652.25</v>
      </c>
      <c r="AZ15" s="81">
        <f t="shared" si="6"/>
        <v>2652.25</v>
      </c>
      <c r="BA15" s="81">
        <f t="shared" si="6"/>
        <v>2652.25</v>
      </c>
    </row>
    <row r="16" spans="1:53" x14ac:dyDescent="0.3">
      <c r="A16" s="18" t="s">
        <v>62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81"/>
      <c r="O16" s="81"/>
      <c r="P16" s="81"/>
      <c r="Q16" s="81"/>
      <c r="R16" s="81"/>
      <c r="S16" s="81"/>
      <c r="T16" s="81"/>
      <c r="U16" s="86"/>
      <c r="V16" s="86"/>
      <c r="W16" s="86"/>
      <c r="X16" s="81">
        <v>2500</v>
      </c>
      <c r="Y16" s="81">
        <v>2500</v>
      </c>
      <c r="Z16" s="81">
        <v>2500</v>
      </c>
      <c r="AA16" s="81">
        <v>2500</v>
      </c>
      <c r="AB16" s="81">
        <v>2500</v>
      </c>
      <c r="AC16" s="81">
        <v>2500</v>
      </c>
      <c r="AD16" s="81">
        <f>AC16*1.03</f>
        <v>2575</v>
      </c>
      <c r="AE16" s="81">
        <v>2575</v>
      </c>
      <c r="AF16" s="81">
        <v>2575</v>
      </c>
      <c r="AG16" s="81">
        <v>2575</v>
      </c>
      <c r="AH16" s="81">
        <v>2575</v>
      </c>
      <c r="AI16" s="81">
        <v>2575</v>
      </c>
      <c r="AJ16" s="81">
        <v>2575</v>
      </c>
      <c r="AK16" s="81">
        <v>2575</v>
      </c>
      <c r="AL16" s="81">
        <v>2575</v>
      </c>
      <c r="AM16" s="81">
        <v>2575</v>
      </c>
      <c r="AN16" s="81">
        <v>2575</v>
      </c>
      <c r="AO16" s="81">
        <v>2575</v>
      </c>
      <c r="AP16" s="81">
        <f t="shared" si="6"/>
        <v>2652.25</v>
      </c>
      <c r="AQ16" s="81">
        <f t="shared" si="6"/>
        <v>2652.25</v>
      </c>
      <c r="AR16" s="81">
        <f t="shared" si="6"/>
        <v>2652.25</v>
      </c>
      <c r="AS16" s="81">
        <f t="shared" si="6"/>
        <v>2652.25</v>
      </c>
      <c r="AT16" s="81">
        <f t="shared" si="6"/>
        <v>2652.25</v>
      </c>
      <c r="AU16" s="81">
        <f t="shared" si="6"/>
        <v>2652.25</v>
      </c>
      <c r="AV16" s="81">
        <f t="shared" si="6"/>
        <v>2652.25</v>
      </c>
      <c r="AW16" s="81">
        <f t="shared" si="6"/>
        <v>2652.25</v>
      </c>
      <c r="AX16" s="81">
        <f t="shared" si="6"/>
        <v>2652.25</v>
      </c>
      <c r="AY16" s="81">
        <f t="shared" si="6"/>
        <v>2652.25</v>
      </c>
      <c r="AZ16" s="81">
        <f t="shared" si="6"/>
        <v>2652.25</v>
      </c>
      <c r="BA16" s="81">
        <f t="shared" si="6"/>
        <v>2652.25</v>
      </c>
    </row>
    <row r="17" spans="1:53" ht="15" thickBot="1" x14ac:dyDescent="0.3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 t="s">
        <v>7</v>
      </c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s="23" customFormat="1" ht="15" thickBot="1" x14ac:dyDescent="0.35">
      <c r="A18" s="24" t="s">
        <v>137</v>
      </c>
      <c r="B18" s="25"/>
      <c r="C18" s="83"/>
      <c r="D18" s="83"/>
      <c r="E18" s="83"/>
      <c r="F18" s="83"/>
      <c r="G18" s="83"/>
      <c r="H18" s="83"/>
      <c r="I18" s="83"/>
      <c r="J18" s="83">
        <f t="shared" ref="J18:U18" si="10">SUM(J6:J17)</f>
        <v>5400</v>
      </c>
      <c r="K18" s="83">
        <f t="shared" si="10"/>
        <v>5400</v>
      </c>
      <c r="L18" s="83">
        <f t="shared" si="10"/>
        <v>5400</v>
      </c>
      <c r="M18" s="83">
        <f t="shared" si="10"/>
        <v>5400</v>
      </c>
      <c r="N18" s="83">
        <f t="shared" si="10"/>
        <v>5400</v>
      </c>
      <c r="O18" s="83">
        <f t="shared" si="10"/>
        <v>5400</v>
      </c>
      <c r="P18" s="83">
        <f t="shared" si="10"/>
        <v>10449.479166666668</v>
      </c>
      <c r="Q18" s="83">
        <f t="shared" si="10"/>
        <v>10449.479166666668</v>
      </c>
      <c r="R18" s="83">
        <f t="shared" si="10"/>
        <v>14250.442708333336</v>
      </c>
      <c r="S18" s="83">
        <f t="shared" si="10"/>
        <v>13200.963541666668</v>
      </c>
      <c r="T18" s="83">
        <f t="shared" si="10"/>
        <v>13200.963541666668</v>
      </c>
      <c r="U18" s="83">
        <f t="shared" si="10"/>
        <v>13200.963541666668</v>
      </c>
      <c r="V18" s="83">
        <f t="shared" ref="V18:AO18" si="11">SUM(V6:V17)</f>
        <v>13200.963541666668</v>
      </c>
      <c r="W18" s="83">
        <f t="shared" si="11"/>
        <v>13200.963541666668</v>
      </c>
      <c r="X18" s="83">
        <f t="shared" si="11"/>
        <v>33803.854166666672</v>
      </c>
      <c r="Y18" s="83">
        <f t="shared" si="11"/>
        <v>33803.854166666672</v>
      </c>
      <c r="Z18" s="83">
        <f t="shared" si="11"/>
        <v>57107.708333333343</v>
      </c>
      <c r="AA18" s="83">
        <f t="shared" si="11"/>
        <v>57107.708333333343</v>
      </c>
      <c r="AB18" s="83">
        <f t="shared" si="11"/>
        <v>57107.708333333343</v>
      </c>
      <c r="AC18" s="83">
        <f t="shared" si="11"/>
        <v>57107.708333333343</v>
      </c>
      <c r="AD18" s="83">
        <f t="shared" si="11"/>
        <v>60456.823958333342</v>
      </c>
      <c r="AE18" s="83">
        <f t="shared" si="11"/>
        <v>54334.546875</v>
      </c>
      <c r="AF18" s="83">
        <f t="shared" si="11"/>
        <v>54334.546875</v>
      </c>
      <c r="AG18" s="83">
        <f t="shared" si="11"/>
        <v>54334.546875</v>
      </c>
      <c r="AH18" s="83">
        <f t="shared" si="11"/>
        <v>54334.546875</v>
      </c>
      <c r="AI18" s="83">
        <f t="shared" si="11"/>
        <v>54334.546875</v>
      </c>
      <c r="AJ18" s="83">
        <f t="shared" si="11"/>
        <v>54334.546875</v>
      </c>
      <c r="AK18" s="83">
        <f t="shared" si="11"/>
        <v>54334.546875</v>
      </c>
      <c r="AL18" s="83">
        <f t="shared" si="11"/>
        <v>54334.546875</v>
      </c>
      <c r="AM18" s="83">
        <f t="shared" si="11"/>
        <v>54334.546875</v>
      </c>
      <c r="AN18" s="83">
        <f t="shared" si="11"/>
        <v>54334.546875</v>
      </c>
      <c r="AO18" s="83">
        <f t="shared" si="11"/>
        <v>54334.546875</v>
      </c>
      <c r="AP18" s="83">
        <f t="shared" ref="AP18:BA18" si="12">SUM(AP6:AP17)</f>
        <v>55649.583281250001</v>
      </c>
      <c r="AQ18" s="83">
        <f t="shared" si="12"/>
        <v>55649.583281250001</v>
      </c>
      <c r="AR18" s="83">
        <f t="shared" si="12"/>
        <v>55649.583281250001</v>
      </c>
      <c r="AS18" s="83">
        <f t="shared" si="12"/>
        <v>55649.583281250001</v>
      </c>
      <c r="AT18" s="83">
        <f t="shared" si="12"/>
        <v>55649.583281250001</v>
      </c>
      <c r="AU18" s="83">
        <f t="shared" si="12"/>
        <v>55649.583281250001</v>
      </c>
      <c r="AV18" s="83">
        <f t="shared" si="12"/>
        <v>55649.583281250001</v>
      </c>
      <c r="AW18" s="83">
        <f t="shared" si="12"/>
        <v>55649.583281250001</v>
      </c>
      <c r="AX18" s="83">
        <f t="shared" si="12"/>
        <v>55649.583281250001</v>
      </c>
      <c r="AY18" s="83">
        <f t="shared" si="12"/>
        <v>55649.583281250001</v>
      </c>
      <c r="AZ18" s="83">
        <f t="shared" si="12"/>
        <v>55649.583281250001</v>
      </c>
      <c r="BA18" s="83">
        <f t="shared" si="12"/>
        <v>55649.583281250001</v>
      </c>
    </row>
  </sheetData>
  <mergeCells count="4">
    <mergeCell ref="F1:Q1"/>
    <mergeCell ref="R1:AC1"/>
    <mergeCell ref="AD1:AO1"/>
    <mergeCell ref="AP1:BA1"/>
  </mergeCells>
  <phoneticPr fontId="1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W79"/>
  <sheetViews>
    <sheetView zoomScaleNormal="100" zoomScalePageLayoutView="80" workbookViewId="0">
      <pane xSplit="1" ySplit="3" topLeftCell="G34" activePane="bottomRight" state="frozen"/>
      <selection pane="topRight" activeCell="B1" sqref="B1"/>
      <selection pane="bottomLeft" activeCell="A4" sqref="A4"/>
      <selection pane="bottomRight" activeCell="O37" sqref="O37"/>
    </sheetView>
  </sheetViews>
  <sheetFormatPr baseColWidth="10" defaultColWidth="11.33203125" defaultRowHeight="14.4" outlineLevelRow="1" x14ac:dyDescent="0.3"/>
  <cols>
    <col min="1" max="1" width="42.109375" style="53" customWidth="1"/>
    <col min="2" max="49" width="13" style="53" customWidth="1"/>
    <col min="50" max="16384" width="11.33203125" style="53"/>
  </cols>
  <sheetData>
    <row r="1" spans="1:49" x14ac:dyDescent="0.3"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 t="s">
        <v>2</v>
      </c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17" t="s">
        <v>3</v>
      </c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8" t="s">
        <v>4</v>
      </c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</row>
    <row r="2" spans="1:49" x14ac:dyDescent="0.3">
      <c r="B2" s="54">
        <v>43466</v>
      </c>
      <c r="C2" s="54">
        <v>43497</v>
      </c>
      <c r="D2" s="54">
        <v>43525</v>
      </c>
      <c r="E2" s="54">
        <v>43556</v>
      </c>
      <c r="F2" s="54">
        <v>43586</v>
      </c>
      <c r="G2" s="54">
        <v>43617</v>
      </c>
      <c r="H2" s="54">
        <v>43647</v>
      </c>
      <c r="I2" s="54">
        <v>43678</v>
      </c>
      <c r="J2" s="54">
        <v>43709</v>
      </c>
      <c r="K2" s="54">
        <v>43739</v>
      </c>
      <c r="L2" s="54">
        <v>43770</v>
      </c>
      <c r="M2" s="54">
        <v>43800</v>
      </c>
      <c r="N2" s="54">
        <v>43831</v>
      </c>
      <c r="O2" s="54">
        <v>43862</v>
      </c>
      <c r="P2" s="54">
        <v>43891</v>
      </c>
      <c r="Q2" s="54">
        <v>43922</v>
      </c>
      <c r="R2" s="54">
        <v>43952</v>
      </c>
      <c r="S2" s="54">
        <v>43983</v>
      </c>
      <c r="T2" s="54">
        <v>44013</v>
      </c>
      <c r="U2" s="54">
        <v>44044</v>
      </c>
      <c r="V2" s="54">
        <v>44075</v>
      </c>
      <c r="W2" s="54">
        <v>44105</v>
      </c>
      <c r="X2" s="54">
        <v>44136</v>
      </c>
      <c r="Y2" s="54">
        <v>44166</v>
      </c>
      <c r="Z2" s="54">
        <v>44197</v>
      </c>
      <c r="AA2" s="54">
        <v>44228</v>
      </c>
      <c r="AB2" s="54">
        <v>44256</v>
      </c>
      <c r="AC2" s="54">
        <v>44287</v>
      </c>
      <c r="AD2" s="54">
        <v>44317</v>
      </c>
      <c r="AE2" s="54">
        <v>44348</v>
      </c>
      <c r="AF2" s="54">
        <v>44378</v>
      </c>
      <c r="AG2" s="54">
        <v>44409</v>
      </c>
      <c r="AH2" s="54">
        <v>44440</v>
      </c>
      <c r="AI2" s="54">
        <v>44470</v>
      </c>
      <c r="AJ2" s="54">
        <v>44501</v>
      </c>
      <c r="AK2" s="54">
        <v>44531</v>
      </c>
      <c r="AL2" s="54">
        <v>44562</v>
      </c>
      <c r="AM2" s="54">
        <v>44593</v>
      </c>
      <c r="AN2" s="54">
        <v>44621</v>
      </c>
      <c r="AO2" s="54">
        <v>44652</v>
      </c>
      <c r="AP2" s="54">
        <v>44682</v>
      </c>
      <c r="AQ2" s="54">
        <v>44713</v>
      </c>
      <c r="AR2" s="54">
        <v>44743</v>
      </c>
      <c r="AS2" s="54">
        <v>44774</v>
      </c>
      <c r="AT2" s="54">
        <v>44805</v>
      </c>
      <c r="AU2" s="54">
        <v>44835</v>
      </c>
      <c r="AV2" s="54">
        <v>44866</v>
      </c>
      <c r="AW2" s="54">
        <v>44896</v>
      </c>
    </row>
    <row r="3" spans="1:49" x14ac:dyDescent="0.3">
      <c r="B3" s="55">
        <v>1</v>
      </c>
      <c r="C3" s="55">
        <f t="shared" ref="C3:AT3" si="0">1+B3</f>
        <v>2</v>
      </c>
      <c r="D3" s="55">
        <f t="shared" si="0"/>
        <v>3</v>
      </c>
      <c r="E3" s="55">
        <f t="shared" si="0"/>
        <v>4</v>
      </c>
      <c r="F3" s="55">
        <f t="shared" si="0"/>
        <v>5</v>
      </c>
      <c r="G3" s="55">
        <f t="shared" si="0"/>
        <v>6</v>
      </c>
      <c r="H3" s="55">
        <f t="shared" si="0"/>
        <v>7</v>
      </c>
      <c r="I3" s="55">
        <f t="shared" si="0"/>
        <v>8</v>
      </c>
      <c r="J3" s="55">
        <f t="shared" si="0"/>
        <v>9</v>
      </c>
      <c r="K3" s="55">
        <f t="shared" si="0"/>
        <v>10</v>
      </c>
      <c r="L3" s="55">
        <f t="shared" si="0"/>
        <v>11</v>
      </c>
      <c r="M3" s="55">
        <f t="shared" si="0"/>
        <v>12</v>
      </c>
      <c r="N3" s="55">
        <f t="shared" si="0"/>
        <v>13</v>
      </c>
      <c r="O3" s="55">
        <f t="shared" si="0"/>
        <v>14</v>
      </c>
      <c r="P3" s="55">
        <f t="shared" si="0"/>
        <v>15</v>
      </c>
      <c r="Q3" s="55">
        <f t="shared" si="0"/>
        <v>16</v>
      </c>
      <c r="R3" s="55">
        <f t="shared" si="0"/>
        <v>17</v>
      </c>
      <c r="S3" s="55">
        <f t="shared" si="0"/>
        <v>18</v>
      </c>
      <c r="T3" s="55">
        <f t="shared" si="0"/>
        <v>19</v>
      </c>
      <c r="U3" s="55">
        <f t="shared" si="0"/>
        <v>20</v>
      </c>
      <c r="V3" s="55">
        <f t="shared" si="0"/>
        <v>21</v>
      </c>
      <c r="W3" s="55">
        <f t="shared" si="0"/>
        <v>22</v>
      </c>
      <c r="X3" s="55">
        <f t="shared" si="0"/>
        <v>23</v>
      </c>
      <c r="Y3" s="55">
        <f t="shared" si="0"/>
        <v>24</v>
      </c>
      <c r="Z3" s="55">
        <f t="shared" si="0"/>
        <v>25</v>
      </c>
      <c r="AA3" s="55">
        <f t="shared" si="0"/>
        <v>26</v>
      </c>
      <c r="AB3" s="55">
        <f t="shared" si="0"/>
        <v>27</v>
      </c>
      <c r="AC3" s="55">
        <f t="shared" si="0"/>
        <v>28</v>
      </c>
      <c r="AD3" s="55">
        <f t="shared" si="0"/>
        <v>29</v>
      </c>
      <c r="AE3" s="55">
        <f t="shared" si="0"/>
        <v>30</v>
      </c>
      <c r="AF3" s="55">
        <f t="shared" si="0"/>
        <v>31</v>
      </c>
      <c r="AG3" s="55">
        <f t="shared" si="0"/>
        <v>32</v>
      </c>
      <c r="AH3" s="55">
        <f t="shared" si="0"/>
        <v>33</v>
      </c>
      <c r="AI3" s="55">
        <f t="shared" si="0"/>
        <v>34</v>
      </c>
      <c r="AJ3" s="55">
        <f t="shared" si="0"/>
        <v>35</v>
      </c>
      <c r="AK3" s="55">
        <f t="shared" si="0"/>
        <v>36</v>
      </c>
      <c r="AL3" s="55">
        <f t="shared" si="0"/>
        <v>37</v>
      </c>
      <c r="AM3" s="55">
        <f t="shared" si="0"/>
        <v>38</v>
      </c>
      <c r="AN3" s="55">
        <f t="shared" si="0"/>
        <v>39</v>
      </c>
      <c r="AO3" s="55">
        <f t="shared" si="0"/>
        <v>40</v>
      </c>
      <c r="AP3" s="55">
        <f t="shared" si="0"/>
        <v>41</v>
      </c>
      <c r="AQ3" s="55">
        <f t="shared" si="0"/>
        <v>42</v>
      </c>
      <c r="AR3" s="55">
        <f t="shared" si="0"/>
        <v>43</v>
      </c>
      <c r="AS3" s="55">
        <f t="shared" si="0"/>
        <v>44</v>
      </c>
      <c r="AT3" s="55">
        <f t="shared" si="0"/>
        <v>45</v>
      </c>
      <c r="AU3" s="109">
        <f t="shared" ref="AU3" si="1">1+AT3</f>
        <v>46</v>
      </c>
      <c r="AV3" s="109">
        <f t="shared" ref="AV3" si="2">1+AU3</f>
        <v>47</v>
      </c>
      <c r="AW3" s="109">
        <f t="shared" ref="AW3" si="3">1+AV3</f>
        <v>48</v>
      </c>
    </row>
    <row r="4" spans="1:49" s="52" customFormat="1" x14ac:dyDescent="0.3">
      <c r="A4" s="52" t="s">
        <v>65</v>
      </c>
      <c r="E4" s="5"/>
      <c r="F4" s="5"/>
      <c r="G4" s="5"/>
      <c r="H4" s="5"/>
      <c r="I4" s="5"/>
      <c r="J4" s="5"/>
      <c r="K4" s="5"/>
      <c r="L4" s="5">
        <f>L6*Hypotheses!$B14*Hypotheses!$D$4</f>
        <v>782.06611570247946</v>
      </c>
      <c r="M4" s="5">
        <f>(M6*Hypotheses!$B14+L6*Hypotheses!$B15)*Hypotheses!$D$4</f>
        <v>2737.231404958678</v>
      </c>
      <c r="N4" s="5">
        <f>(N6*Hypotheses!$B14+M6*Hypotheses!$B15+L6*Hypotheses!$B16)*Hypotheses!$D$4</f>
        <v>5865.4958677685954</v>
      </c>
      <c r="O4" s="5">
        <f>(O6*Hypotheses!$B14+N6*Hypotheses!$B15+M6*Hypotheses!$B16+L6*Hypotheses!$B17)*Hypotheses!$D$4</f>
        <v>10323.272727272728</v>
      </c>
      <c r="P4" s="5">
        <f>(SUM(P6:P8)*Hypotheses!$B14+SUM(O6:O8)*Hypotheses!$B15+SUM(N6:N8)*Hypotheses!$B16+SUM(M6:M8)*Hypotheses!$B17+SUM(L6:L8)*Hypotheses!$B18)*Hypotheses!$D$4</f>
        <v>16188.768595041325</v>
      </c>
      <c r="Q4" s="5">
        <f>(Q6*Hypotheses!$B14+P6*Hypotheses!$B15+O6*Hypotheses!$B16+N6*Hypotheses!$B17+M6*Hypotheses!$B18+L6*Hypotheses!$B19)*Hypotheses!$D$4</f>
        <v>23618.39669421488</v>
      </c>
      <c r="R4" s="5">
        <f>(SUM(R6:R8)*Hypotheses!$B14+SUM(Q6:Q8)*Hypotheses!$B15+SUM(P6:P8)*Hypotheses!$B16+SUM(O6:O8)*Hypotheses!$B17+SUM(N6:N8)*Hypotheses!$B18+SUM(M6:M8)*Hypotheses!$B19+L5)*Hypotheses!$D$4</f>
        <v>32690.36363636364</v>
      </c>
      <c r="S4" s="5">
        <f>(SUM(S6:S8)*Hypotheses!$B14+SUM(R6:R8)*Hypotheses!$B15+SUM(Q6:Q8)*Hypotheses!$B16+SUM(P6:P8)*Hypotheses!$B17+SUM(O6:O8)*Hypotheses!$B18+SUM(N6:N8)*Hypotheses!$B19+M5)*Hypotheses!$D$4</f>
        <v>42544.396694214884</v>
      </c>
      <c r="T4" s="5">
        <f>(SUM(T6:T8)*Hypotheses!$B14+SUM(S6:S8)*Hypotheses!$B15+SUM(R6:R8)*Hypotheses!$B16+SUM(Q6:Q8)*Hypotheses!$B17+SUM(P6:P8)*Hypotheses!$B18+SUM(O6:O8)*Hypotheses!$B19+N5)*Hypotheses!$D$4</f>
        <v>53336.909090909096</v>
      </c>
      <c r="U4" s="5">
        <f>(SUM(U6:U8)*Hypotheses!$B14+SUM(T6:T8)*Hypotheses!$B15+SUM(S6:S8)*Hypotheses!$B16+SUM(R6:R8)*Hypotheses!$B17+SUM(Q6:Q8)*Hypotheses!$B18+SUM(P6:P8)*Hypotheses!$B19+O5)*Hypotheses!$D$4</f>
        <v>65224.314049586785</v>
      </c>
      <c r="V4" s="5">
        <f>(SUM(V6:V8)*Hypotheses!$B14+SUM(U6:U8)*Hypotheses!$B15+SUM(T6:T8)*Hypotheses!$B16+SUM(S6:S8)*Hypotheses!$B17+SUM(R6:R8)*Hypotheses!$B18+SUM(Q6:Q8)*Hypotheses!$B19+P5)*Hypotheses!$D$4</f>
        <v>78832.264462809922</v>
      </c>
      <c r="W4" s="5">
        <f>(SUM(W6:W8)*Hypotheses!$B14+SUM(V6:V8)*Hypotheses!$B15+SUM(U6:U8)*Hypotheses!$B16+SUM(T6:T8)*Hypotheses!$B17+SUM(S6:S8)*Hypotheses!$B18+SUM(R6:R8)*Hypotheses!$B19+Q5)*Hypotheses!$D$4</f>
        <v>94864.619834710757</v>
      </c>
      <c r="X4" s="5">
        <f>(SUM(X6:X8)*Hypotheses!$B14+SUM(W6:W8)*Hypotheses!$B15+SUM(V6:V8)*Hypotheses!$B16+SUM(U6:U8)*Hypotheses!$B17+SUM(T6:T8)*Hypotheses!$B18+SUM(S6:S8)*Hypotheses!$B19+R5)*Hypotheses!$D$4</f>
        <v>113243.17355371903</v>
      </c>
      <c r="Y4" s="5">
        <f>(SUM(Y6:Y8)*Hypotheses!$B14+SUM(X6:X8)*Hypotheses!$B15+SUM(W6:W8)*Hypotheses!$B16+SUM(V6:V8)*Hypotheses!$B17+SUM(U6:U8)*Hypotheses!$B18+SUM(T6:T8)*Hypotheses!$B19+S5)*Hypotheses!$D$4</f>
        <v>134124.33884297524</v>
      </c>
      <c r="Z4" s="5">
        <f>(SUM(Z6:Z8)*Hypotheses!$B14+SUM(Y6:Y8)*Hypotheses!$B15+SUM(X6:X8)*Hypotheses!$B16+SUM(W6:W8)*Hypotheses!$B17+SUM(V6:V8)*Hypotheses!$B18+SUM(U6:U8)*Hypotheses!$B19+T5)*Hypotheses!$D$4</f>
        <v>157429.90909090912</v>
      </c>
      <c r="AA4" s="5">
        <f>(SUM(AA6:AA8)*Hypotheses!$B14+SUM(Z6:Z8)*Hypotheses!$B15+SUM(Y6:Y8)*Hypotheses!$B16+SUM(X6:X8)*Hypotheses!$B17+SUM(W6:W8)*Hypotheses!$B18+SUM(V6:V8)*Hypotheses!$B19+U5)*Hypotheses!$D$4</f>
        <v>183316.29752066117</v>
      </c>
      <c r="AB4" s="5">
        <f>(SUM(AB6:AB8)*Hypotheses!$B14+SUM(AA6:AA8)*Hypotheses!$B15+SUM(Z6:Z8)*Hypotheses!$B16+SUM(Y6:Y8)*Hypotheses!$B17+SUM(X6:X8)*Hypotheses!$B18+SUM(W6:W8)*Hypotheses!$B19+V5)*Hypotheses!$D$4</f>
        <v>213113.01652892565</v>
      </c>
      <c r="AC4" s="5">
        <f>(SUM(AC6:AC8)*Hypotheses!$B14+SUM(AB6:AB8)*Hypotheses!$B15+SUM(AA6:AA8)*Hypotheses!$B16+SUM(Z6:Z8)*Hypotheses!$B17+SUM(Y6:Y8)*Hypotheses!$B18+SUM(X6:X8)*Hypotheses!$B19+W5)*Hypotheses!$D$4</f>
        <v>246429.03305785128</v>
      </c>
      <c r="AD4" s="5">
        <f>(SUM(AD6:AD8)*Hypotheses!$B14+SUM(AC6:AC8)*Hypotheses!$B15+SUM(AB6:AB8)*Hypotheses!$B16+SUM(AA6:AA8)*Hypotheses!$B17+SUM(Z6:Z8)*Hypotheses!$B18+SUM(Y6:Y8)*Hypotheses!$B19+X5)*Hypotheses!$D$4</f>
        <v>282795.10743801657</v>
      </c>
      <c r="AE4" s="5">
        <f>(SUM(AE6:AE8)*Hypotheses!$B14+SUM(AD6:AD8)*Hypotheses!$B15+SUM(AC6:AC8)*Hypotheses!$B16+SUM(AB6:AB8)*Hypotheses!$B17+SUM(AA6:AA8)*Hypotheses!$B18+SUM(Z6:Z8)*Hypotheses!$B19+Y5)*Hypotheses!$D$4</f>
        <v>322524.0661157025</v>
      </c>
      <c r="AF4" s="5">
        <f>(SUM(AF6:AF8)*Hypotheses!$B14+SUM(AE6:AE8)*Hypotheses!$B15+SUM(AD6:AD8)*Hypotheses!$B16+SUM(AC6:AC8)*Hypotheses!$B17+SUM(AB6:AB8)*Hypotheses!$B18+SUM(AA6:AA8)*Hypotheses!$B19+Z5)*Hypotheses!$D$4</f>
        <v>365850.5289256199</v>
      </c>
      <c r="AG4" s="5">
        <f>(SUM(AG6:AG8)*Hypotheses!$B14+SUM(AF6:AF8)*Hypotheses!$B15+SUM(AE6:AE8)*Hypotheses!$B16+SUM(AD6:AD8)*Hypotheses!$B17+SUM(AC6:AC8)*Hypotheses!$B18+SUM(AB6:AB8)*Hypotheses!$B19+AA5)*Hypotheses!$D$4</f>
        <v>412461.66942148766</v>
      </c>
      <c r="AH4" s="5">
        <f>(SUM(AH6:AH8)*Hypotheses!$B14+SUM(AG6:AG8)*Hypotheses!$B15+SUM(AF6:AF8)*Hypotheses!$B16+SUM(AE6:AE8)*Hypotheses!$B17+SUM(AD6:AD8)*Hypotheses!$B18+SUM(AC6:AC8)*Hypotheses!$B19+AB5)*Hypotheses!$D$4</f>
        <v>462357.48760330584</v>
      </c>
      <c r="AI4" s="5">
        <f>(SUM(AI6:AI8)*Hypotheses!$B14+SUM(AH6:AH8)*Hypotheses!$B15+SUM(AG6:AG8)*Hypotheses!$B16+SUM(AF6:AF8)*Hypotheses!$B17+SUM(AE6:AE8)*Hypotheses!$B18+SUM(AD6:AD8)*Hypotheses!$B19+AC5)*Hypotheses!$D$4</f>
        <v>514130.26446281001</v>
      </c>
      <c r="AJ4" s="5">
        <f>(SUM(AJ6:AJ8)*Hypotheses!$B14+SUM(AI6:AI8)*Hypotheses!$B15+SUM(AH6:AH8)*Hypotheses!$B16+SUM(AG6:AG8)*Hypotheses!$B17+SUM(AF6:AF8)*Hypotheses!$B18+SUM(AE6:AE8)*Hypotheses!$B19+AD5)*Hypotheses!$D$4</f>
        <v>568249.23966942157</v>
      </c>
      <c r="AK4" s="5">
        <f>(SUM(AK6:AK8)*Hypotheses!$B14+SUM(AJ6:AJ8)*Hypotheses!$B15+SUM(AI6:AI8)*Hypotheses!$B16+SUM(AH6:AH8)*Hypotheses!$B17+SUM(AG6:AG8)*Hypotheses!$B18+SUM(AF6:AF8)*Hypotheses!$B19+AE5)*Hypotheses!$D$4</f>
        <v>624714.41322314052</v>
      </c>
      <c r="AL4" s="5">
        <f>(SUM(AL6:AL8)*Hypotheses!$B14+SUM(AK6:AK8)*Hypotheses!$B15+SUM(AJ6:AJ8)*Hypotheses!$B16+SUM(AI6:AI8)*Hypotheses!$B17+SUM(AH6:AH8)*Hypotheses!$B18+SUM(AG6:AG8)*Hypotheses!$B19+AF5)*Hypotheses!$D$4</f>
        <v>683056.54545454553</v>
      </c>
      <c r="AM4" s="5">
        <f>(SUM(AM6:AM8)*Hypotheses!$B14+SUM(AL6:AL8)*Hypotheses!$B15+SUM(AK6:AK8)*Hypotheses!$B16+SUM(AJ6:AJ8)*Hypotheses!$B17+SUM(AI6:AI8)*Hypotheses!$B18+SUM(AH6:AH8)*Hypotheses!$B19+AG5)*Hypotheses!$D$4</f>
        <v>742806.39669421501</v>
      </c>
      <c r="AN4" s="5">
        <f>(SUM(AN6:AN8)*Hypotheses!$B14+SUM(AM6:AM8)*Hypotheses!$B15+SUM(AL6:AL8)*Hypotheses!$B16+SUM(AK6:AK8)*Hypotheses!$B17+SUM(AJ6:AJ8)*Hypotheses!$B18+SUM(AI6:AI8)*Hypotheses!$B19+AH5)*Hypotheses!$D$4</f>
        <v>803963.96694214887</v>
      </c>
      <c r="AO4" s="5">
        <f>(SUM(AO6:AO8)*Hypotheses!$B14+SUM(AN6:AN8)*Hypotheses!$B15+SUM(AM6:AM8)*Hypotheses!$B16+SUM(AL6:AL8)*Hypotheses!$B17+SUM(AK6:AK8)*Hypotheses!$B18+SUM(AJ6:AJ8)*Hypotheses!$B19+AI5)*Hypotheses!$D$4</f>
        <v>866529.2561983472</v>
      </c>
      <c r="AP4" s="5">
        <f>(SUM(AP6:AP8)*Hypotheses!$B14+SUM(AO6:AO8)*Hypotheses!$B15+SUM(AN6:AN8)*Hypotheses!$B16+SUM(AM6:AM8)*Hypotheses!$B17+SUM(AL6:AL8)*Hypotheses!$B18+SUM(AK6:AK8)*Hypotheses!$B19+AJ5)*Hypotheses!$D$4</f>
        <v>929094.54545454553</v>
      </c>
      <c r="AQ4" s="5">
        <f>(SUM(AQ6:AQ8)*Hypotheses!$B14+SUM(AP6:AP8)*Hypotheses!$B15+SUM(AO6:AO8)*Hypotheses!$B16+SUM(AN6:AN8)*Hypotheses!$B17+SUM(AM6:AM8)*Hypotheses!$B18+SUM(AL6:AL8)*Hypotheses!$B19+AK5)*Hypotheses!$D$4</f>
        <v>991659.83471074398</v>
      </c>
      <c r="AR4" s="5">
        <f>(SUM(AR6:AR8)*Hypotheses!$B14+SUM(AQ6:AQ8)*Hypotheses!$B15+SUM(AP6:AP8)*Hypotheses!$B16+SUM(AO6:AO8)*Hypotheses!$B17+SUM(AN6:AN8)*Hypotheses!$B18+SUM(AM6:AM8)*Hypotheses!$B19+AL5)*Hypotheses!$D$4</f>
        <v>1054225.1239669423</v>
      </c>
      <c r="AS4" s="5">
        <f>(SUM(AS6:AS8)*Hypotheses!$B14+SUM(AR6:AR8)*Hypotheses!$B15+SUM(AQ6:AQ8)*Hypotheses!$B16+SUM(AP6:AP8)*Hypotheses!$B17+SUM(AO6:AO8)*Hypotheses!$B18+SUM(AN6:AN8)*Hypotheses!$B19+AM5)*Hypotheses!$D$4</f>
        <v>1116790.4132231406</v>
      </c>
      <c r="AT4" s="5">
        <f>(SUM(AT6:AT8)*Hypotheses!$B14+SUM(AS6:AS8)*Hypotheses!$B15+SUM(AR6:AR8)*Hypotheses!$B16+SUM(AQ6:AQ8)*Hypotheses!$B17+SUM(AP6:AP8)*Hypotheses!$B18+SUM(AO6:AO8)*Hypotheses!$B19+AN5)*Hypotheses!$D$4</f>
        <v>1179355.702479339</v>
      </c>
      <c r="AU4" s="5">
        <f>(SUM(AU6:AU8)*Hypotheses!$B14+SUM(AT6:AT8)*Hypotheses!$B15+SUM(AS6:AS8)*Hypotheses!$B16+SUM(AR6:AR8)*Hypotheses!$B17+SUM(AQ6:AQ8)*Hypotheses!$B18+SUM(AP6:AP8)*Hypotheses!$B19+AO5)*Hypotheses!$D$4</f>
        <v>1241920.9917355373</v>
      </c>
      <c r="AV4" s="5">
        <f>(SUM(AV6:AV8)*Hypotheses!$B14+SUM(AU6:AU8)*Hypotheses!$B15+SUM(AT6:AT8)*Hypotheses!$B16+SUM(AS6:AS8)*Hypotheses!$B17+SUM(AR6:AR8)*Hypotheses!$B18+SUM(AQ6:AQ8)*Hypotheses!$B19+AP5)*Hypotheses!$D$4</f>
        <v>1304486.2809917356</v>
      </c>
      <c r="AW4" s="5">
        <f>(SUM(AW6:AW8)*Hypotheses!$B14+SUM(AV6:AV8)*Hypotheses!$B15+SUM(AU6:AU8)*Hypotheses!$B16+SUM(AT6:AT8)*Hypotheses!$B17+SUM(AS6:AS8)*Hypotheses!$B18+SUM(AR6:AR8)*Hypotheses!$B19+AQ5)*Hypotheses!$D$4</f>
        <v>1367051.570247934</v>
      </c>
    </row>
    <row r="5" spans="1:49" s="32" customFormat="1" x14ac:dyDescent="0.3">
      <c r="A5" s="5" t="s">
        <v>66</v>
      </c>
      <c r="B5" s="5"/>
      <c r="C5" s="5"/>
      <c r="D5" s="5"/>
      <c r="E5" s="5"/>
      <c r="F5" s="5"/>
      <c r="G5" s="5"/>
      <c r="H5" s="5"/>
      <c r="I5" s="5"/>
      <c r="J5" s="51"/>
      <c r="K5" s="51"/>
      <c r="L5" s="51">
        <f>SUM(L6:L8)</f>
        <v>50</v>
      </c>
      <c r="M5" s="51">
        <f>L5+SUM(M6:M8)</f>
        <v>100</v>
      </c>
      <c r="N5" s="51">
        <f t="shared" ref="N5" si="4">M5+SUM(N6:N8)</f>
        <v>150</v>
      </c>
      <c r="O5" s="51">
        <f t="shared" ref="O5" si="5">N5+SUM(O6:O8)</f>
        <v>210</v>
      </c>
      <c r="P5" s="51">
        <f t="shared" ref="P5" si="6">O5+SUM(P6:P8)</f>
        <v>270</v>
      </c>
      <c r="Q5" s="51">
        <f t="shared" ref="Q5" si="7">P5+SUM(Q6:Q8)</f>
        <v>340</v>
      </c>
      <c r="R5" s="51">
        <f t="shared" ref="R5" si="8">Q5+SUM(R6:R8)</f>
        <v>410</v>
      </c>
      <c r="S5" s="51">
        <f t="shared" ref="S5" si="9">R5+SUM(S6:S8)</f>
        <v>500</v>
      </c>
      <c r="T5" s="51">
        <f t="shared" ref="T5" si="10">S5+SUM(T6:T8)</f>
        <v>590</v>
      </c>
      <c r="U5" s="51">
        <f t="shared" ref="U5" si="11">T5+SUM(U6:U8)</f>
        <v>690</v>
      </c>
      <c r="V5" s="51">
        <f t="shared" ref="V5" si="12">U5+SUM(V6:V8)</f>
        <v>840</v>
      </c>
      <c r="W5" s="51">
        <f t="shared" ref="W5" si="13">V5+SUM(W6:W8)</f>
        <v>1010</v>
      </c>
      <c r="X5" s="51">
        <f t="shared" ref="X5" si="14">W5+SUM(X6:X8)</f>
        <v>1180</v>
      </c>
      <c r="Y5" s="51">
        <f t="shared" ref="Y5" si="15">X5+SUM(Y6:Y8)</f>
        <v>1360</v>
      </c>
      <c r="Z5" s="51">
        <f t="shared" ref="Z5" si="16">Y5+SUM(Z6:Z8)</f>
        <v>1560</v>
      </c>
      <c r="AA5" s="51">
        <f t="shared" ref="AA5" si="17">Z5+SUM(AA6:AA8)</f>
        <v>1760</v>
      </c>
      <c r="AB5" s="51">
        <f t="shared" ref="AB5" si="18">AA5+SUM(AB6:AB8)</f>
        <v>2060</v>
      </c>
      <c r="AC5" s="51">
        <f t="shared" ref="AC5" si="19">AB5+SUM(AC6:AC8)</f>
        <v>2360</v>
      </c>
      <c r="AD5" s="51">
        <f t="shared" ref="AD5" si="20">AC5+SUM(AD6:AD8)</f>
        <v>2660</v>
      </c>
      <c r="AE5" s="51">
        <f t="shared" ref="AE5" si="21">AD5+SUM(AE6:AE8)</f>
        <v>2980</v>
      </c>
      <c r="AF5" s="51">
        <f t="shared" ref="AF5" si="22">AE5+SUM(AF6:AF8)</f>
        <v>3320</v>
      </c>
      <c r="AG5" s="51">
        <f t="shared" ref="AG5" si="23">AF5+SUM(AG6:AG8)</f>
        <v>3660</v>
      </c>
      <c r="AH5" s="51">
        <f t="shared" ref="AH5" si="24">AG5+SUM(AH6:AH8)</f>
        <v>4000</v>
      </c>
      <c r="AI5" s="51">
        <f t="shared" ref="AI5" si="25">AH5+SUM(AI6:AI8)</f>
        <v>4400</v>
      </c>
      <c r="AJ5" s="51">
        <f t="shared" ref="AJ5" si="26">AI5+SUM(AJ6:AJ8)</f>
        <v>4800</v>
      </c>
      <c r="AK5" s="51">
        <f t="shared" ref="AK5" si="27">AJ5+SUM(AK6:AK8)</f>
        <v>5200</v>
      </c>
      <c r="AL5" s="51">
        <f t="shared" ref="AL5" si="28">AK5+SUM(AL6:AL8)</f>
        <v>5600</v>
      </c>
      <c r="AM5" s="51">
        <f t="shared" ref="AM5" si="29">AL5+SUM(AM6:AM8)</f>
        <v>6000</v>
      </c>
      <c r="AN5" s="51">
        <f t="shared" ref="AN5" si="30">AM5+SUM(AN6:AN8)</f>
        <v>6400</v>
      </c>
      <c r="AO5" s="51">
        <f t="shared" ref="AO5" si="31">AN5+SUM(AO6:AO8)</f>
        <v>6800</v>
      </c>
      <c r="AP5" s="51">
        <f t="shared" ref="AP5" si="32">AO5+SUM(AP6:AP8)</f>
        <v>7200</v>
      </c>
      <c r="AQ5" s="51">
        <f t="shared" ref="AQ5" si="33">AP5+SUM(AQ6:AQ8)</f>
        <v>7600</v>
      </c>
      <c r="AR5" s="51">
        <f t="shared" ref="AR5" si="34">AQ5+SUM(AR6:AR8)</f>
        <v>8000</v>
      </c>
      <c r="AS5" s="51">
        <f t="shared" ref="AS5" si="35">AR5+SUM(AS6:AS8)</f>
        <v>8400</v>
      </c>
      <c r="AT5" s="51">
        <f t="shared" ref="AT5" si="36">AS5+SUM(AT6:AT8)</f>
        <v>8800</v>
      </c>
      <c r="AU5" s="51">
        <f t="shared" ref="AU5" si="37">AT5+SUM(AU6:AU8)</f>
        <v>9200</v>
      </c>
      <c r="AV5" s="51">
        <f t="shared" ref="AV5" si="38">AU5+SUM(AV6:AV8)</f>
        <v>9600</v>
      </c>
      <c r="AW5" s="51">
        <f t="shared" ref="AW5" si="39">AV5+SUM(AW6:AW8)</f>
        <v>10000</v>
      </c>
    </row>
    <row r="6" spans="1:49" s="32" customFormat="1" x14ac:dyDescent="0.3">
      <c r="A6" s="87" t="s">
        <v>67</v>
      </c>
      <c r="B6" s="31"/>
      <c r="C6" s="31"/>
      <c r="D6" s="31"/>
      <c r="E6" s="31"/>
      <c r="F6" s="31"/>
      <c r="G6" s="31"/>
      <c r="H6" s="31"/>
      <c r="I6" s="31"/>
      <c r="J6" s="33"/>
      <c r="K6" s="33"/>
      <c r="L6" s="33">
        <v>50</v>
      </c>
      <c r="M6" s="33">
        <v>50</v>
      </c>
      <c r="N6" s="33">
        <v>50</v>
      </c>
      <c r="O6" s="33">
        <v>60</v>
      </c>
      <c r="P6" s="33">
        <v>60</v>
      </c>
      <c r="Q6" s="33">
        <v>70</v>
      </c>
      <c r="R6" s="33">
        <v>70</v>
      </c>
      <c r="S6" s="33">
        <v>90</v>
      </c>
      <c r="T6" s="33">
        <v>90</v>
      </c>
      <c r="U6" s="33">
        <v>100</v>
      </c>
      <c r="V6" s="33">
        <v>100</v>
      </c>
      <c r="W6" s="33">
        <v>100</v>
      </c>
      <c r="X6" s="33">
        <v>100</v>
      </c>
      <c r="Y6" s="33">
        <v>100</v>
      </c>
      <c r="Z6" s="33">
        <v>100</v>
      </c>
      <c r="AA6" s="33">
        <v>100</v>
      </c>
      <c r="AB6" s="33">
        <v>100</v>
      </c>
      <c r="AC6" s="33">
        <v>100</v>
      </c>
      <c r="AD6" s="33">
        <v>100</v>
      </c>
      <c r="AE6" s="33">
        <v>100</v>
      </c>
      <c r="AF6" s="33">
        <v>100</v>
      </c>
      <c r="AG6" s="33">
        <v>100</v>
      </c>
      <c r="AH6" s="33">
        <v>100</v>
      </c>
      <c r="AI6" s="33">
        <v>100</v>
      </c>
      <c r="AJ6" s="33">
        <v>100</v>
      </c>
      <c r="AK6" s="33">
        <v>100</v>
      </c>
      <c r="AL6" s="33">
        <v>100</v>
      </c>
      <c r="AM6" s="33">
        <v>100</v>
      </c>
      <c r="AN6" s="33">
        <v>100</v>
      </c>
      <c r="AO6" s="33">
        <v>100</v>
      </c>
      <c r="AP6" s="33">
        <v>100</v>
      </c>
      <c r="AQ6" s="33">
        <v>100</v>
      </c>
      <c r="AR6" s="33">
        <v>100</v>
      </c>
      <c r="AS6" s="33">
        <v>100</v>
      </c>
      <c r="AT6" s="33">
        <v>100</v>
      </c>
      <c r="AU6" s="33">
        <v>100</v>
      </c>
      <c r="AV6" s="33">
        <v>100</v>
      </c>
      <c r="AW6" s="33">
        <v>100</v>
      </c>
    </row>
    <row r="7" spans="1:49" s="32" customFormat="1" x14ac:dyDescent="0.3">
      <c r="A7" s="87" t="s">
        <v>68</v>
      </c>
      <c r="B7" s="31"/>
      <c r="C7" s="31"/>
      <c r="D7" s="31"/>
      <c r="E7" s="31"/>
      <c r="F7" s="31"/>
      <c r="G7" s="31"/>
      <c r="H7" s="31"/>
      <c r="I7" s="31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>
        <v>50</v>
      </c>
      <c r="W7" s="33">
        <v>70</v>
      </c>
      <c r="X7" s="33">
        <v>70</v>
      </c>
      <c r="Y7" s="33">
        <v>80</v>
      </c>
      <c r="Z7" s="33">
        <v>100</v>
      </c>
      <c r="AA7" s="33">
        <v>100</v>
      </c>
      <c r="AB7" s="33">
        <v>100</v>
      </c>
      <c r="AC7" s="33">
        <v>100</v>
      </c>
      <c r="AD7" s="33">
        <v>100</v>
      </c>
      <c r="AE7" s="33">
        <v>100</v>
      </c>
      <c r="AF7" s="33">
        <v>100</v>
      </c>
      <c r="AG7" s="33">
        <v>100</v>
      </c>
      <c r="AH7" s="33">
        <v>100</v>
      </c>
      <c r="AI7" s="33">
        <v>100</v>
      </c>
      <c r="AJ7" s="33">
        <v>100</v>
      </c>
      <c r="AK7" s="33">
        <v>100</v>
      </c>
      <c r="AL7" s="33">
        <v>100</v>
      </c>
      <c r="AM7" s="33">
        <v>100</v>
      </c>
      <c r="AN7" s="33">
        <v>100</v>
      </c>
      <c r="AO7" s="33">
        <v>100</v>
      </c>
      <c r="AP7" s="33">
        <v>100</v>
      </c>
      <c r="AQ7" s="33">
        <v>100</v>
      </c>
      <c r="AR7" s="33">
        <v>100</v>
      </c>
      <c r="AS7" s="33">
        <v>100</v>
      </c>
      <c r="AT7" s="33">
        <v>100</v>
      </c>
      <c r="AU7" s="33">
        <v>100</v>
      </c>
      <c r="AV7" s="33">
        <v>100</v>
      </c>
      <c r="AW7" s="33">
        <v>100</v>
      </c>
    </row>
    <row r="8" spans="1:49" s="32" customFormat="1" ht="28.8" x14ac:dyDescent="0.3">
      <c r="A8" s="88" t="s">
        <v>69</v>
      </c>
      <c r="B8" s="31"/>
      <c r="C8" s="31"/>
      <c r="D8" s="31"/>
      <c r="E8" s="31"/>
      <c r="F8" s="31"/>
      <c r="G8" s="31"/>
      <c r="H8" s="31"/>
      <c r="I8" s="31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>
        <v>100</v>
      </c>
      <c r="AC8" s="33">
        <v>100</v>
      </c>
      <c r="AD8" s="33">
        <v>100</v>
      </c>
      <c r="AE8" s="33">
        <v>120</v>
      </c>
      <c r="AF8" s="33">
        <v>140</v>
      </c>
      <c r="AG8" s="33">
        <v>140</v>
      </c>
      <c r="AH8" s="33">
        <v>140</v>
      </c>
      <c r="AI8" s="33">
        <v>200</v>
      </c>
      <c r="AJ8" s="33">
        <v>200</v>
      </c>
      <c r="AK8" s="33">
        <v>200</v>
      </c>
      <c r="AL8" s="33">
        <v>200</v>
      </c>
      <c r="AM8" s="33">
        <v>200</v>
      </c>
      <c r="AN8" s="33">
        <v>200</v>
      </c>
      <c r="AO8" s="33">
        <v>200</v>
      </c>
      <c r="AP8" s="33">
        <v>200</v>
      </c>
      <c r="AQ8" s="33">
        <v>200</v>
      </c>
      <c r="AR8" s="33">
        <v>200</v>
      </c>
      <c r="AS8" s="33">
        <v>200</v>
      </c>
      <c r="AT8" s="33">
        <v>200</v>
      </c>
      <c r="AU8" s="33">
        <v>200</v>
      </c>
      <c r="AV8" s="33">
        <v>200</v>
      </c>
      <c r="AW8" s="33">
        <v>200</v>
      </c>
    </row>
    <row r="10" spans="1:49" s="56" customFormat="1" x14ac:dyDescent="0.3">
      <c r="A10" s="89" t="s">
        <v>146</v>
      </c>
      <c r="J10" s="56">
        <f t="shared" ref="J10:AW10" si="40">SUM(J6:J8)</f>
        <v>0</v>
      </c>
      <c r="K10" s="56">
        <f t="shared" si="40"/>
        <v>0</v>
      </c>
      <c r="L10" s="56">
        <f t="shared" si="40"/>
        <v>50</v>
      </c>
      <c r="M10" s="56">
        <f t="shared" si="40"/>
        <v>50</v>
      </c>
      <c r="N10" s="56">
        <f t="shared" si="40"/>
        <v>50</v>
      </c>
      <c r="O10" s="56">
        <f t="shared" si="40"/>
        <v>60</v>
      </c>
      <c r="P10" s="56">
        <f t="shared" si="40"/>
        <v>60</v>
      </c>
      <c r="Q10" s="56">
        <f t="shared" si="40"/>
        <v>70</v>
      </c>
      <c r="R10" s="56">
        <f t="shared" si="40"/>
        <v>70</v>
      </c>
      <c r="S10" s="56">
        <f t="shared" si="40"/>
        <v>90</v>
      </c>
      <c r="T10" s="56">
        <f t="shared" si="40"/>
        <v>90</v>
      </c>
      <c r="U10" s="56">
        <f t="shared" si="40"/>
        <v>100</v>
      </c>
      <c r="V10" s="56">
        <f t="shared" si="40"/>
        <v>150</v>
      </c>
      <c r="W10" s="56">
        <f t="shared" si="40"/>
        <v>170</v>
      </c>
      <c r="X10" s="56">
        <f t="shared" si="40"/>
        <v>170</v>
      </c>
      <c r="Y10" s="56">
        <f t="shared" si="40"/>
        <v>180</v>
      </c>
      <c r="Z10" s="56">
        <f t="shared" si="40"/>
        <v>200</v>
      </c>
      <c r="AA10" s="56">
        <f t="shared" si="40"/>
        <v>200</v>
      </c>
      <c r="AB10" s="56">
        <f t="shared" si="40"/>
        <v>300</v>
      </c>
      <c r="AC10" s="56">
        <f t="shared" si="40"/>
        <v>300</v>
      </c>
      <c r="AD10" s="56">
        <f t="shared" si="40"/>
        <v>300</v>
      </c>
      <c r="AE10" s="56">
        <f t="shared" si="40"/>
        <v>320</v>
      </c>
      <c r="AF10" s="56">
        <f t="shared" si="40"/>
        <v>340</v>
      </c>
      <c r="AG10" s="56">
        <f t="shared" si="40"/>
        <v>340</v>
      </c>
      <c r="AH10" s="56">
        <f t="shared" si="40"/>
        <v>340</v>
      </c>
      <c r="AI10" s="56">
        <f t="shared" si="40"/>
        <v>400</v>
      </c>
      <c r="AJ10" s="56">
        <f t="shared" si="40"/>
        <v>400</v>
      </c>
      <c r="AK10" s="56">
        <f t="shared" si="40"/>
        <v>400</v>
      </c>
      <c r="AL10" s="56">
        <f t="shared" si="40"/>
        <v>400</v>
      </c>
      <c r="AM10" s="56">
        <f t="shared" si="40"/>
        <v>400</v>
      </c>
      <c r="AN10" s="56">
        <f t="shared" si="40"/>
        <v>400</v>
      </c>
      <c r="AO10" s="56">
        <f t="shared" si="40"/>
        <v>400</v>
      </c>
      <c r="AP10" s="56">
        <f t="shared" si="40"/>
        <v>400</v>
      </c>
      <c r="AQ10" s="56">
        <f t="shared" si="40"/>
        <v>400</v>
      </c>
      <c r="AR10" s="56">
        <f t="shared" si="40"/>
        <v>400</v>
      </c>
      <c r="AS10" s="56">
        <f t="shared" si="40"/>
        <v>400</v>
      </c>
      <c r="AT10" s="56">
        <f t="shared" si="40"/>
        <v>400</v>
      </c>
      <c r="AU10" s="56">
        <f t="shared" si="40"/>
        <v>400</v>
      </c>
      <c r="AV10" s="56">
        <f t="shared" si="40"/>
        <v>400</v>
      </c>
      <c r="AW10" s="56">
        <f t="shared" si="40"/>
        <v>400</v>
      </c>
    </row>
    <row r="11" spans="1:49" s="6" customFormat="1" x14ac:dyDescent="0.3">
      <c r="A11" s="89" t="s">
        <v>145</v>
      </c>
      <c r="G11" s="7">
        <v>500</v>
      </c>
      <c r="M11" s="56"/>
      <c r="N11" s="56"/>
      <c r="O11" s="56"/>
      <c r="P11" s="56"/>
      <c r="Q11" s="56"/>
      <c r="R11" s="111"/>
      <c r="S11" s="56"/>
      <c r="T11" s="56">
        <v>500</v>
      </c>
      <c r="U11" s="56"/>
      <c r="V11" s="56"/>
      <c r="W11" s="56">
        <v>1000</v>
      </c>
      <c r="X11" s="56"/>
      <c r="Y11" s="56"/>
      <c r="Z11" s="56"/>
      <c r="AA11" s="56"/>
      <c r="AB11" s="56">
        <v>1500</v>
      </c>
      <c r="AC11" s="56"/>
      <c r="AD11" s="56"/>
      <c r="AE11" s="56"/>
      <c r="AF11" s="56"/>
      <c r="AG11" s="56">
        <v>2500</v>
      </c>
      <c r="AH11" s="56"/>
      <c r="AI11" s="56"/>
      <c r="AJ11" s="56"/>
      <c r="AK11" s="56"/>
      <c r="AL11" s="56"/>
      <c r="AM11" s="56">
        <v>2500</v>
      </c>
      <c r="AN11" s="56"/>
      <c r="AO11" s="56"/>
      <c r="AP11" s="56"/>
      <c r="AQ11" s="56"/>
      <c r="AR11" s="56"/>
      <c r="AS11" s="56">
        <v>2500</v>
      </c>
      <c r="AT11" s="56"/>
      <c r="AU11" s="56"/>
      <c r="AV11" s="56"/>
      <c r="AW11" s="56"/>
    </row>
    <row r="12" spans="1:49" s="56" customFormat="1" x14ac:dyDescent="0.3">
      <c r="A12" s="89" t="s">
        <v>71</v>
      </c>
      <c r="J12" s="56">
        <f>I13</f>
        <v>500</v>
      </c>
      <c r="K12" s="56">
        <f t="shared" ref="K12:N12" si="41">J13</f>
        <v>500</v>
      </c>
      <c r="L12" s="56">
        <f t="shared" si="41"/>
        <v>500</v>
      </c>
      <c r="M12" s="56">
        <f t="shared" si="41"/>
        <v>450</v>
      </c>
      <c r="N12" s="56">
        <f t="shared" si="41"/>
        <v>400</v>
      </c>
      <c r="O12" s="56">
        <f>N13+N11</f>
        <v>350</v>
      </c>
      <c r="P12" s="56">
        <f t="shared" ref="P12:R12" si="42">O13+O11</f>
        <v>290</v>
      </c>
      <c r="Q12" s="56">
        <f t="shared" si="42"/>
        <v>230</v>
      </c>
      <c r="R12" s="56">
        <f t="shared" si="42"/>
        <v>160</v>
      </c>
      <c r="S12" s="56">
        <f>R13+R11</f>
        <v>90</v>
      </c>
      <c r="T12" s="56">
        <f>S13+T11</f>
        <v>500</v>
      </c>
      <c r="U12" s="56">
        <f t="shared" ref="U12:AW12" si="43">T13+U11</f>
        <v>410</v>
      </c>
      <c r="V12" s="56">
        <f t="shared" si="43"/>
        <v>310</v>
      </c>
      <c r="W12" s="56">
        <f t="shared" si="43"/>
        <v>1160</v>
      </c>
      <c r="X12" s="56">
        <f t="shared" si="43"/>
        <v>990</v>
      </c>
      <c r="Y12" s="56">
        <f t="shared" si="43"/>
        <v>820</v>
      </c>
      <c r="Z12" s="56">
        <f t="shared" si="43"/>
        <v>640</v>
      </c>
      <c r="AA12" s="56">
        <f t="shared" si="43"/>
        <v>440</v>
      </c>
      <c r="AB12" s="56">
        <f t="shared" si="43"/>
        <v>1740</v>
      </c>
      <c r="AC12" s="56">
        <f t="shared" si="43"/>
        <v>1440</v>
      </c>
      <c r="AD12" s="56">
        <f t="shared" si="43"/>
        <v>1140</v>
      </c>
      <c r="AE12" s="56">
        <f t="shared" si="43"/>
        <v>840</v>
      </c>
      <c r="AF12" s="56">
        <f t="shared" si="43"/>
        <v>520</v>
      </c>
      <c r="AG12" s="56">
        <f t="shared" si="43"/>
        <v>2680</v>
      </c>
      <c r="AH12" s="56">
        <f t="shared" si="43"/>
        <v>2340</v>
      </c>
      <c r="AI12" s="56">
        <f t="shared" si="43"/>
        <v>2000</v>
      </c>
      <c r="AJ12" s="56">
        <f t="shared" si="43"/>
        <v>1600</v>
      </c>
      <c r="AK12" s="56">
        <f t="shared" si="43"/>
        <v>1200</v>
      </c>
      <c r="AL12" s="56">
        <f t="shared" si="43"/>
        <v>800</v>
      </c>
      <c r="AM12" s="56">
        <f t="shared" si="43"/>
        <v>2900</v>
      </c>
      <c r="AN12" s="56">
        <f t="shared" si="43"/>
        <v>2500</v>
      </c>
      <c r="AO12" s="56">
        <f t="shared" si="43"/>
        <v>2100</v>
      </c>
      <c r="AP12" s="56">
        <f t="shared" si="43"/>
        <v>1700</v>
      </c>
      <c r="AQ12" s="56">
        <f t="shared" si="43"/>
        <v>1300</v>
      </c>
      <c r="AR12" s="56">
        <f t="shared" si="43"/>
        <v>900</v>
      </c>
      <c r="AS12" s="56">
        <f t="shared" si="43"/>
        <v>3000</v>
      </c>
      <c r="AT12" s="56">
        <f t="shared" si="43"/>
        <v>2600</v>
      </c>
      <c r="AU12" s="56">
        <f t="shared" si="43"/>
        <v>2200</v>
      </c>
      <c r="AV12" s="56">
        <f t="shared" si="43"/>
        <v>1800</v>
      </c>
      <c r="AW12" s="56">
        <f t="shared" si="43"/>
        <v>1400</v>
      </c>
    </row>
    <row r="13" spans="1:49" s="56" customFormat="1" x14ac:dyDescent="0.3">
      <c r="A13" s="89" t="s">
        <v>70</v>
      </c>
      <c r="I13" s="56">
        <v>500</v>
      </c>
      <c r="J13" s="56">
        <f t="shared" ref="J13:AW13" si="44">J12-J10</f>
        <v>500</v>
      </c>
      <c r="K13" s="56">
        <f t="shared" si="44"/>
        <v>500</v>
      </c>
      <c r="L13" s="56">
        <f t="shared" si="44"/>
        <v>450</v>
      </c>
      <c r="M13" s="56">
        <f t="shared" si="44"/>
        <v>400</v>
      </c>
      <c r="N13" s="56">
        <f t="shared" si="44"/>
        <v>350</v>
      </c>
      <c r="O13" s="56">
        <f t="shared" si="44"/>
        <v>290</v>
      </c>
      <c r="P13" s="56">
        <f t="shared" si="44"/>
        <v>230</v>
      </c>
      <c r="Q13" s="56">
        <f t="shared" si="44"/>
        <v>160</v>
      </c>
      <c r="R13" s="56">
        <f t="shared" si="44"/>
        <v>90</v>
      </c>
      <c r="S13" s="56">
        <f t="shared" si="44"/>
        <v>0</v>
      </c>
      <c r="T13" s="56">
        <f t="shared" si="44"/>
        <v>410</v>
      </c>
      <c r="U13" s="56">
        <f t="shared" si="44"/>
        <v>310</v>
      </c>
      <c r="V13" s="56">
        <f t="shared" si="44"/>
        <v>160</v>
      </c>
      <c r="W13" s="56">
        <f t="shared" si="44"/>
        <v>990</v>
      </c>
      <c r="X13" s="56">
        <f t="shared" si="44"/>
        <v>820</v>
      </c>
      <c r="Y13" s="56">
        <f t="shared" si="44"/>
        <v>640</v>
      </c>
      <c r="Z13" s="56">
        <f t="shared" si="44"/>
        <v>440</v>
      </c>
      <c r="AA13" s="56">
        <f t="shared" si="44"/>
        <v>240</v>
      </c>
      <c r="AB13" s="56">
        <f t="shared" si="44"/>
        <v>1440</v>
      </c>
      <c r="AC13" s="56">
        <f t="shared" si="44"/>
        <v>1140</v>
      </c>
      <c r="AD13" s="56">
        <f t="shared" si="44"/>
        <v>840</v>
      </c>
      <c r="AE13" s="56">
        <f t="shared" si="44"/>
        <v>520</v>
      </c>
      <c r="AF13" s="56">
        <f t="shared" si="44"/>
        <v>180</v>
      </c>
      <c r="AG13" s="56">
        <f t="shared" si="44"/>
        <v>2340</v>
      </c>
      <c r="AH13" s="56">
        <f t="shared" si="44"/>
        <v>2000</v>
      </c>
      <c r="AI13" s="56">
        <f t="shared" si="44"/>
        <v>1600</v>
      </c>
      <c r="AJ13" s="56">
        <f t="shared" si="44"/>
        <v>1200</v>
      </c>
      <c r="AK13" s="56">
        <f t="shared" si="44"/>
        <v>800</v>
      </c>
      <c r="AL13" s="56">
        <f t="shared" si="44"/>
        <v>400</v>
      </c>
      <c r="AM13" s="56">
        <f t="shared" si="44"/>
        <v>2500</v>
      </c>
      <c r="AN13" s="56">
        <f t="shared" si="44"/>
        <v>2100</v>
      </c>
      <c r="AO13" s="56">
        <f t="shared" si="44"/>
        <v>1700</v>
      </c>
      <c r="AP13" s="56">
        <f t="shared" si="44"/>
        <v>1300</v>
      </c>
      <c r="AQ13" s="56">
        <f t="shared" si="44"/>
        <v>900</v>
      </c>
      <c r="AR13" s="56">
        <f t="shared" si="44"/>
        <v>500</v>
      </c>
      <c r="AS13" s="56">
        <f t="shared" si="44"/>
        <v>2600</v>
      </c>
      <c r="AT13" s="56">
        <f t="shared" si="44"/>
        <v>2200</v>
      </c>
      <c r="AU13" s="56">
        <f t="shared" si="44"/>
        <v>1800</v>
      </c>
      <c r="AV13" s="56">
        <f t="shared" si="44"/>
        <v>1400</v>
      </c>
      <c r="AW13" s="56">
        <f t="shared" si="44"/>
        <v>1000</v>
      </c>
    </row>
    <row r="14" spans="1:49" s="56" customFormat="1" x14ac:dyDescent="0.3">
      <c r="A14" s="89"/>
    </row>
    <row r="15" spans="1:49" s="29" customFormat="1" x14ac:dyDescent="0.3">
      <c r="A15" s="90" t="s">
        <v>72</v>
      </c>
      <c r="B15" s="91">
        <f t="shared" ref="B15:AW15" si="45">SUM(B16:B17)</f>
        <v>10000</v>
      </c>
      <c r="C15" s="91">
        <f t="shared" si="45"/>
        <v>0</v>
      </c>
      <c r="D15" s="91">
        <f t="shared" si="45"/>
        <v>30000</v>
      </c>
      <c r="E15" s="91">
        <f t="shared" si="45"/>
        <v>0</v>
      </c>
      <c r="F15" s="91">
        <f t="shared" si="45"/>
        <v>0</v>
      </c>
      <c r="G15" s="91">
        <f t="shared" si="45"/>
        <v>65000</v>
      </c>
      <c r="H15" s="91">
        <f t="shared" si="45"/>
        <v>0</v>
      </c>
      <c r="I15" s="91">
        <f t="shared" si="45"/>
        <v>0</v>
      </c>
      <c r="J15" s="91">
        <f t="shared" si="45"/>
        <v>5000</v>
      </c>
      <c r="K15" s="91">
        <f t="shared" si="45"/>
        <v>0</v>
      </c>
      <c r="L15" s="91">
        <f t="shared" si="45"/>
        <v>1191.0330578512398</v>
      </c>
      <c r="M15" s="91">
        <f>SUM(M16:M17)</f>
        <v>2168.6157024793392</v>
      </c>
      <c r="N15" s="91">
        <f t="shared" si="45"/>
        <v>3732.7479338842977</v>
      </c>
      <c r="O15" s="91">
        <f t="shared" si="45"/>
        <v>6121.636363636364</v>
      </c>
      <c r="P15" s="91">
        <f t="shared" si="45"/>
        <v>9054.3842975206626</v>
      </c>
      <c r="Q15" s="91">
        <f t="shared" si="45"/>
        <v>12929.19834710744</v>
      </c>
      <c r="R15" s="91">
        <f t="shared" si="45"/>
        <v>17465.18181818182</v>
      </c>
      <c r="S15" s="91">
        <f t="shared" si="45"/>
        <v>22712.198347107442</v>
      </c>
      <c r="T15" s="91">
        <f t="shared" si="45"/>
        <v>58108.454545454544</v>
      </c>
      <c r="U15" s="91">
        <f t="shared" si="45"/>
        <v>34212.157024793392</v>
      </c>
      <c r="V15" s="91">
        <f t="shared" si="45"/>
        <v>71816.132231404961</v>
      </c>
      <c r="W15" s="91">
        <f t="shared" si="45"/>
        <v>95152.309917355378</v>
      </c>
      <c r="X15" s="91">
        <f t="shared" si="45"/>
        <v>59341.586776859513</v>
      </c>
      <c r="Y15" s="91">
        <f t="shared" si="45"/>
        <v>69942.169421487619</v>
      </c>
      <c r="Z15" s="91">
        <f t="shared" si="45"/>
        <v>81914.954545454559</v>
      </c>
      <c r="AA15" s="91">
        <f t="shared" si="45"/>
        <v>94858.148760330587</v>
      </c>
      <c r="AB15" s="91">
        <f t="shared" si="45"/>
        <v>178856.50826446281</v>
      </c>
      <c r="AC15" s="91">
        <f t="shared" si="45"/>
        <v>128014.51652892564</v>
      </c>
      <c r="AD15" s="91">
        <f t="shared" si="45"/>
        <v>146197.55371900828</v>
      </c>
      <c r="AE15" s="91">
        <f t="shared" si="45"/>
        <v>166382.03305785125</v>
      </c>
      <c r="AF15" s="91">
        <f t="shared" si="45"/>
        <v>188365.26446280995</v>
      </c>
      <c r="AG15" s="91">
        <f t="shared" si="45"/>
        <v>324170.83471074386</v>
      </c>
      <c r="AH15" s="91">
        <f t="shared" si="45"/>
        <v>236618.74380165292</v>
      </c>
      <c r="AI15" s="91">
        <f t="shared" si="45"/>
        <v>263465.132231405</v>
      </c>
      <c r="AJ15" s="91">
        <f t="shared" si="45"/>
        <v>290524.61983471079</v>
      </c>
      <c r="AK15" s="91">
        <f t="shared" si="45"/>
        <v>318757.20661157026</v>
      </c>
      <c r="AL15" s="91">
        <f t="shared" si="45"/>
        <v>347928.27272727276</v>
      </c>
      <c r="AM15" s="91">
        <f t="shared" si="45"/>
        <v>377803.19834710751</v>
      </c>
      <c r="AN15" s="91">
        <f t="shared" si="45"/>
        <v>408381.98347107443</v>
      </c>
      <c r="AO15" s="91">
        <f t="shared" si="45"/>
        <v>439664.6280991736</v>
      </c>
      <c r="AP15" s="91">
        <f t="shared" si="45"/>
        <v>470947.27272727276</v>
      </c>
      <c r="AQ15" s="91">
        <f t="shared" si="45"/>
        <v>502229.91735537199</v>
      </c>
      <c r="AR15" s="91">
        <f t="shared" si="45"/>
        <v>533512.56198347115</v>
      </c>
      <c r="AS15" s="91">
        <f t="shared" si="45"/>
        <v>564795.20661157032</v>
      </c>
      <c r="AT15" s="91">
        <f t="shared" si="45"/>
        <v>596077.85123966949</v>
      </c>
      <c r="AU15" s="91">
        <f t="shared" si="45"/>
        <v>627360.49586776865</v>
      </c>
      <c r="AV15" s="91">
        <f t="shared" si="45"/>
        <v>658643.14049586782</v>
      </c>
      <c r="AW15" s="91">
        <f t="shared" si="45"/>
        <v>689925.78512396698</v>
      </c>
    </row>
    <row r="16" spans="1:49" s="56" customFormat="1" x14ac:dyDescent="0.3">
      <c r="A16" s="48" t="s">
        <v>136</v>
      </c>
      <c r="B16" s="110">
        <f t="shared" ref="B16:AW16" si="46">+B4/2</f>
        <v>0</v>
      </c>
      <c r="C16" s="110">
        <f t="shared" si="46"/>
        <v>0</v>
      </c>
      <c r="D16" s="110">
        <f t="shared" si="46"/>
        <v>0</v>
      </c>
      <c r="E16" s="110">
        <f t="shared" si="46"/>
        <v>0</v>
      </c>
      <c r="F16" s="110">
        <f t="shared" si="46"/>
        <v>0</v>
      </c>
      <c r="G16" s="110">
        <f t="shared" si="46"/>
        <v>0</v>
      </c>
      <c r="H16" s="110">
        <f t="shared" si="46"/>
        <v>0</v>
      </c>
      <c r="I16" s="110">
        <f t="shared" si="46"/>
        <v>0</v>
      </c>
      <c r="J16" s="110">
        <f t="shared" si="46"/>
        <v>0</v>
      </c>
      <c r="K16" s="110">
        <f t="shared" si="46"/>
        <v>0</v>
      </c>
      <c r="L16" s="110">
        <f t="shared" si="46"/>
        <v>391.03305785123973</v>
      </c>
      <c r="M16" s="110">
        <f t="shared" si="46"/>
        <v>1368.615702479339</v>
      </c>
      <c r="N16" s="110">
        <f t="shared" si="46"/>
        <v>2932.7479338842977</v>
      </c>
      <c r="O16" s="110">
        <f t="shared" si="46"/>
        <v>5161.636363636364</v>
      </c>
      <c r="P16" s="110">
        <f t="shared" si="46"/>
        <v>8094.3842975206626</v>
      </c>
      <c r="Q16" s="110">
        <f t="shared" si="46"/>
        <v>11809.19834710744</v>
      </c>
      <c r="R16" s="110">
        <f t="shared" si="46"/>
        <v>16345.18181818182</v>
      </c>
      <c r="S16" s="110">
        <f t="shared" si="46"/>
        <v>21272.198347107442</v>
      </c>
      <c r="T16" s="110">
        <f t="shared" si="46"/>
        <v>26668.454545454548</v>
      </c>
      <c r="U16" s="110">
        <f t="shared" si="46"/>
        <v>32612.157024793392</v>
      </c>
      <c r="V16" s="110">
        <f t="shared" si="46"/>
        <v>39416.132231404961</v>
      </c>
      <c r="W16" s="110">
        <f t="shared" si="46"/>
        <v>47432.309917355378</v>
      </c>
      <c r="X16" s="110">
        <f t="shared" si="46"/>
        <v>56621.586776859513</v>
      </c>
      <c r="Y16" s="110">
        <f t="shared" si="46"/>
        <v>67062.169421487619</v>
      </c>
      <c r="Z16" s="110">
        <f t="shared" si="46"/>
        <v>78714.954545454559</v>
      </c>
      <c r="AA16" s="110">
        <f t="shared" si="46"/>
        <v>91658.148760330587</v>
      </c>
      <c r="AB16" s="110">
        <f t="shared" si="46"/>
        <v>106556.50826446283</v>
      </c>
      <c r="AC16" s="110">
        <f t="shared" si="46"/>
        <v>123214.51652892564</v>
      </c>
      <c r="AD16" s="110">
        <f t="shared" si="46"/>
        <v>141397.55371900828</v>
      </c>
      <c r="AE16" s="110">
        <f t="shared" si="46"/>
        <v>161262.03305785125</v>
      </c>
      <c r="AF16" s="110">
        <f t="shared" si="46"/>
        <v>182925.26446280995</v>
      </c>
      <c r="AG16" s="110">
        <f t="shared" si="46"/>
        <v>206230.83471074383</v>
      </c>
      <c r="AH16" s="110">
        <f t="shared" si="46"/>
        <v>231178.74380165292</v>
      </c>
      <c r="AI16" s="110">
        <f t="shared" si="46"/>
        <v>257065.132231405</v>
      </c>
      <c r="AJ16" s="110">
        <f t="shared" si="46"/>
        <v>284124.61983471079</v>
      </c>
      <c r="AK16" s="110">
        <f t="shared" si="46"/>
        <v>312357.20661157026</v>
      </c>
      <c r="AL16" s="110">
        <f t="shared" si="46"/>
        <v>341528.27272727276</v>
      </c>
      <c r="AM16" s="110">
        <f t="shared" si="46"/>
        <v>371403.19834710751</v>
      </c>
      <c r="AN16" s="110">
        <f t="shared" si="46"/>
        <v>401981.98347107443</v>
      </c>
      <c r="AO16" s="110">
        <f t="shared" si="46"/>
        <v>433264.6280991736</v>
      </c>
      <c r="AP16" s="110">
        <f t="shared" si="46"/>
        <v>464547.27272727276</v>
      </c>
      <c r="AQ16" s="110">
        <f t="shared" si="46"/>
        <v>495829.91735537199</v>
      </c>
      <c r="AR16" s="110">
        <f t="shared" si="46"/>
        <v>527112.56198347115</v>
      </c>
      <c r="AS16" s="110">
        <f t="shared" si="46"/>
        <v>558395.20661157032</v>
      </c>
      <c r="AT16" s="110">
        <f t="shared" si="46"/>
        <v>589677.85123966949</v>
      </c>
      <c r="AU16" s="110">
        <f t="shared" si="46"/>
        <v>620960.49586776865</v>
      </c>
      <c r="AV16" s="110">
        <f t="shared" si="46"/>
        <v>652243.14049586782</v>
      </c>
      <c r="AW16" s="110">
        <f t="shared" si="46"/>
        <v>683525.78512396698</v>
      </c>
    </row>
    <row r="17" spans="1:49" x14ac:dyDescent="0.3">
      <c r="A17" s="48" t="s">
        <v>8</v>
      </c>
      <c r="B17" s="110">
        <f t="shared" ref="B17:L17" si="47">SUM(B18:B22)</f>
        <v>10000</v>
      </c>
      <c r="C17" s="110">
        <f t="shared" si="47"/>
        <v>0</v>
      </c>
      <c r="D17" s="110">
        <f t="shared" si="47"/>
        <v>30000</v>
      </c>
      <c r="E17" s="110">
        <f t="shared" si="47"/>
        <v>0</v>
      </c>
      <c r="F17" s="110">
        <f t="shared" si="47"/>
        <v>0</v>
      </c>
      <c r="G17" s="110">
        <f t="shared" si="47"/>
        <v>65000</v>
      </c>
      <c r="H17" s="110">
        <f t="shared" si="47"/>
        <v>0</v>
      </c>
      <c r="I17" s="110">
        <f t="shared" si="47"/>
        <v>0</v>
      </c>
      <c r="J17" s="110">
        <f t="shared" si="47"/>
        <v>5000</v>
      </c>
      <c r="K17" s="110">
        <f t="shared" si="47"/>
        <v>0</v>
      </c>
      <c r="L17" s="110">
        <f t="shared" si="47"/>
        <v>800</v>
      </c>
      <c r="M17" s="110">
        <f>SUM(M18:M22)</f>
        <v>800</v>
      </c>
      <c r="N17" s="110">
        <f t="shared" ref="N17:AW17" si="48">SUM(N18:N22)</f>
        <v>800</v>
      </c>
      <c r="O17" s="110">
        <f t="shared" si="48"/>
        <v>960</v>
      </c>
      <c r="P17" s="110">
        <f t="shared" si="48"/>
        <v>960</v>
      </c>
      <c r="Q17" s="110">
        <f t="shared" si="48"/>
        <v>1120</v>
      </c>
      <c r="R17" s="110">
        <f t="shared" si="48"/>
        <v>1120</v>
      </c>
      <c r="S17" s="110">
        <f t="shared" si="48"/>
        <v>1440</v>
      </c>
      <c r="T17" s="110">
        <f t="shared" si="48"/>
        <v>31440</v>
      </c>
      <c r="U17" s="110">
        <f t="shared" si="48"/>
        <v>1600</v>
      </c>
      <c r="V17" s="110">
        <f t="shared" si="48"/>
        <v>32400</v>
      </c>
      <c r="W17" s="110">
        <f t="shared" si="48"/>
        <v>47720</v>
      </c>
      <c r="X17" s="110">
        <f t="shared" si="48"/>
        <v>2720</v>
      </c>
      <c r="Y17" s="110">
        <f t="shared" si="48"/>
        <v>2880</v>
      </c>
      <c r="Z17" s="110">
        <f t="shared" si="48"/>
        <v>3200</v>
      </c>
      <c r="AA17" s="110">
        <f t="shared" si="48"/>
        <v>3200</v>
      </c>
      <c r="AB17" s="110">
        <f t="shared" si="48"/>
        <v>72300</v>
      </c>
      <c r="AC17" s="110">
        <f t="shared" si="48"/>
        <v>4800</v>
      </c>
      <c r="AD17" s="110">
        <f t="shared" si="48"/>
        <v>4800</v>
      </c>
      <c r="AE17" s="110">
        <f t="shared" si="48"/>
        <v>5120</v>
      </c>
      <c r="AF17" s="110">
        <f t="shared" si="48"/>
        <v>5440</v>
      </c>
      <c r="AG17" s="110">
        <f t="shared" si="48"/>
        <v>117940</v>
      </c>
      <c r="AH17" s="110">
        <f t="shared" si="48"/>
        <v>5440</v>
      </c>
      <c r="AI17" s="110">
        <f t="shared" si="48"/>
        <v>6400</v>
      </c>
      <c r="AJ17" s="110">
        <f t="shared" si="48"/>
        <v>6400</v>
      </c>
      <c r="AK17" s="110">
        <f t="shared" si="48"/>
        <v>6400</v>
      </c>
      <c r="AL17" s="110">
        <f t="shared" si="48"/>
        <v>6400</v>
      </c>
      <c r="AM17" s="110">
        <f t="shared" si="48"/>
        <v>6400</v>
      </c>
      <c r="AN17" s="110">
        <f t="shared" si="48"/>
        <v>6400</v>
      </c>
      <c r="AO17" s="110">
        <f t="shared" si="48"/>
        <v>6400</v>
      </c>
      <c r="AP17" s="110">
        <f t="shared" si="48"/>
        <v>6400</v>
      </c>
      <c r="AQ17" s="110">
        <f t="shared" si="48"/>
        <v>6400</v>
      </c>
      <c r="AR17" s="110">
        <f t="shared" si="48"/>
        <v>6400</v>
      </c>
      <c r="AS17" s="110">
        <f t="shared" si="48"/>
        <v>6400</v>
      </c>
      <c r="AT17" s="110">
        <f t="shared" si="48"/>
        <v>6400</v>
      </c>
      <c r="AU17" s="110">
        <f t="shared" si="48"/>
        <v>6400</v>
      </c>
      <c r="AV17" s="110">
        <f t="shared" si="48"/>
        <v>6400</v>
      </c>
      <c r="AW17" s="110">
        <f t="shared" si="48"/>
        <v>6400</v>
      </c>
    </row>
    <row r="18" spans="1:49" x14ac:dyDescent="0.3">
      <c r="A18" s="20" t="s">
        <v>131</v>
      </c>
      <c r="B18" s="6"/>
      <c r="C18" s="6"/>
      <c r="D18" s="6"/>
      <c r="E18" s="6"/>
      <c r="F18" s="6"/>
      <c r="G18" s="6">
        <f>G11*Hypotheses!$D$2</f>
        <v>30000</v>
      </c>
      <c r="H18" s="6"/>
      <c r="I18" s="6"/>
      <c r="J18" s="6"/>
      <c r="K18" s="6"/>
      <c r="L18" s="85"/>
      <c r="M18" s="85"/>
      <c r="N18" s="85">
        <f>N11*Hypotheses!$D$2</f>
        <v>0</v>
      </c>
      <c r="O18" s="85"/>
      <c r="P18" s="85">
        <f>P11*Hypotheses!$D$2</f>
        <v>0</v>
      </c>
      <c r="Q18" s="85">
        <f>Q11*Hypotheses!$D$2</f>
        <v>0</v>
      </c>
      <c r="R18" s="85">
        <f>R11*Hypotheses!$D$2</f>
        <v>0</v>
      </c>
      <c r="S18" s="85">
        <f>S11*Hypotheses!$D$2</f>
        <v>0</v>
      </c>
      <c r="T18" s="85">
        <f>T11*Hypotheses!$D$2</f>
        <v>30000</v>
      </c>
      <c r="U18" s="85">
        <f>Hypotheses!$D$3*U11</f>
        <v>0</v>
      </c>
      <c r="V18" s="85">
        <f>Hypotheses!$D$3*V11</f>
        <v>0</v>
      </c>
      <c r="W18" s="6">
        <f>Hypotheses!$D$3*W11</f>
        <v>45000</v>
      </c>
      <c r="X18" s="6">
        <f>Hypotheses!$D$3*X11</f>
        <v>0</v>
      </c>
      <c r="Y18" s="6">
        <f>Hypotheses!$D$3*Y11</f>
        <v>0</v>
      </c>
      <c r="Z18" s="6">
        <f>Hypotheses!$D$3*Z11</f>
        <v>0</v>
      </c>
      <c r="AA18" s="6">
        <f>Hypotheses!$D$3*AA11</f>
        <v>0</v>
      </c>
      <c r="AB18" s="6">
        <f>Hypotheses!$D$3*AB11</f>
        <v>67500</v>
      </c>
      <c r="AC18" s="6">
        <f>Hypotheses!$D$3*AC11</f>
        <v>0</v>
      </c>
      <c r="AD18" s="6">
        <f>Hypotheses!$D$3*AD11</f>
        <v>0</v>
      </c>
      <c r="AE18" s="6">
        <f>Hypotheses!$D$3*AE11</f>
        <v>0</v>
      </c>
      <c r="AF18" s="6">
        <f>Hypotheses!$D$3*AF11</f>
        <v>0</v>
      </c>
      <c r="AG18" s="6">
        <f>Hypotheses!$D$3*AG11</f>
        <v>112500</v>
      </c>
      <c r="AH18" s="6">
        <f>Hypotheses!$D$3*AH11</f>
        <v>0</v>
      </c>
      <c r="AI18" s="6">
        <f>Hypotheses!$D$3*AI11</f>
        <v>0</v>
      </c>
      <c r="AJ18" s="6">
        <f>Hypotheses!$D$3*AJ11</f>
        <v>0</v>
      </c>
      <c r="AK18" s="6">
        <f>Hypotheses!$D$3*AK11</f>
        <v>0</v>
      </c>
      <c r="AL18" s="6">
        <f>Hypotheses!$D$3*AL11</f>
        <v>0</v>
      </c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</row>
    <row r="19" spans="1:49" x14ac:dyDescent="0.3">
      <c r="A19" s="18" t="s">
        <v>132</v>
      </c>
      <c r="B19" s="6">
        <v>10000</v>
      </c>
      <c r="C19" s="6">
        <v>0</v>
      </c>
      <c r="D19" s="6">
        <v>30000</v>
      </c>
      <c r="E19" s="6"/>
      <c r="F19" s="6">
        <v>0</v>
      </c>
      <c r="G19" s="6">
        <v>35000</v>
      </c>
      <c r="H19" s="6"/>
      <c r="I19" s="6"/>
      <c r="J19" s="6">
        <v>5000</v>
      </c>
      <c r="K19" s="6">
        <v>0</v>
      </c>
      <c r="L19" s="85">
        <v>0</v>
      </c>
      <c r="M19" s="85">
        <v>0</v>
      </c>
      <c r="N19" s="85"/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20000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</row>
    <row r="20" spans="1:49" x14ac:dyDescent="0.3">
      <c r="A20" s="18" t="s">
        <v>133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85"/>
      <c r="M20" s="85"/>
      <c r="N20" s="85"/>
      <c r="O20" s="85"/>
      <c r="P20" s="85"/>
      <c r="Q20" s="85"/>
      <c r="R20" s="85"/>
      <c r="S20" s="112"/>
      <c r="T20" s="85"/>
      <c r="U20" s="85"/>
      <c r="V20" s="85">
        <v>10000</v>
      </c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1:49" x14ac:dyDescent="0.3">
      <c r="A21" s="18" t="s">
        <v>134</v>
      </c>
      <c r="B21" s="6">
        <v>0</v>
      </c>
      <c r="C21" s="6"/>
      <c r="D21" s="6"/>
      <c r="E21" s="6"/>
      <c r="F21" s="6"/>
      <c r="G21" s="6"/>
      <c r="H21" s="6"/>
      <c r="I21" s="6"/>
      <c r="J21" s="6">
        <f t="shared" ref="J21:AW21" si="49">J10*10</f>
        <v>0</v>
      </c>
      <c r="K21" s="6">
        <f t="shared" si="49"/>
        <v>0</v>
      </c>
      <c r="L21" s="85">
        <f t="shared" si="49"/>
        <v>500</v>
      </c>
      <c r="M21" s="85">
        <f t="shared" si="49"/>
        <v>500</v>
      </c>
      <c r="N21" s="85">
        <f t="shared" si="49"/>
        <v>500</v>
      </c>
      <c r="O21" s="85">
        <f t="shared" si="49"/>
        <v>600</v>
      </c>
      <c r="P21" s="85">
        <f t="shared" si="49"/>
        <v>600</v>
      </c>
      <c r="Q21" s="85">
        <f t="shared" si="49"/>
        <v>700</v>
      </c>
      <c r="R21" s="85">
        <f t="shared" si="49"/>
        <v>700</v>
      </c>
      <c r="S21" s="85">
        <f t="shared" si="49"/>
        <v>900</v>
      </c>
      <c r="T21" s="85">
        <f t="shared" si="49"/>
        <v>900</v>
      </c>
      <c r="U21" s="85">
        <f t="shared" si="49"/>
        <v>1000</v>
      </c>
      <c r="V21" s="85">
        <f t="shared" si="49"/>
        <v>1500</v>
      </c>
      <c r="W21" s="6">
        <f t="shared" si="49"/>
        <v>1700</v>
      </c>
      <c r="X21" s="6">
        <f t="shared" si="49"/>
        <v>1700</v>
      </c>
      <c r="Y21" s="6">
        <f t="shared" si="49"/>
        <v>1800</v>
      </c>
      <c r="Z21" s="6">
        <f t="shared" si="49"/>
        <v>2000</v>
      </c>
      <c r="AA21" s="6">
        <f t="shared" si="49"/>
        <v>2000</v>
      </c>
      <c r="AB21" s="6">
        <f t="shared" si="49"/>
        <v>3000</v>
      </c>
      <c r="AC21" s="6">
        <f t="shared" si="49"/>
        <v>3000</v>
      </c>
      <c r="AD21" s="6">
        <f t="shared" si="49"/>
        <v>3000</v>
      </c>
      <c r="AE21" s="6">
        <f t="shared" si="49"/>
        <v>3200</v>
      </c>
      <c r="AF21" s="6">
        <f t="shared" si="49"/>
        <v>3400</v>
      </c>
      <c r="AG21" s="6">
        <f t="shared" si="49"/>
        <v>3400</v>
      </c>
      <c r="AH21" s="6">
        <f t="shared" si="49"/>
        <v>3400</v>
      </c>
      <c r="AI21" s="6">
        <f t="shared" si="49"/>
        <v>4000</v>
      </c>
      <c r="AJ21" s="6">
        <f t="shared" si="49"/>
        <v>4000</v>
      </c>
      <c r="AK21" s="6">
        <f t="shared" si="49"/>
        <v>4000</v>
      </c>
      <c r="AL21" s="6">
        <f t="shared" si="49"/>
        <v>4000</v>
      </c>
      <c r="AM21" s="6">
        <f t="shared" si="49"/>
        <v>4000</v>
      </c>
      <c r="AN21" s="6">
        <f t="shared" si="49"/>
        <v>4000</v>
      </c>
      <c r="AO21" s="6">
        <f t="shared" si="49"/>
        <v>4000</v>
      </c>
      <c r="AP21" s="6">
        <f t="shared" si="49"/>
        <v>4000</v>
      </c>
      <c r="AQ21" s="6">
        <f t="shared" si="49"/>
        <v>4000</v>
      </c>
      <c r="AR21" s="6">
        <f t="shared" si="49"/>
        <v>4000</v>
      </c>
      <c r="AS21" s="6">
        <f t="shared" si="49"/>
        <v>4000</v>
      </c>
      <c r="AT21" s="6">
        <f t="shared" si="49"/>
        <v>4000</v>
      </c>
      <c r="AU21" s="6">
        <f t="shared" si="49"/>
        <v>4000</v>
      </c>
      <c r="AV21" s="6">
        <f t="shared" si="49"/>
        <v>4000</v>
      </c>
      <c r="AW21" s="6">
        <f t="shared" si="49"/>
        <v>4000</v>
      </c>
    </row>
    <row r="22" spans="1:49" x14ac:dyDescent="0.3">
      <c r="A22" s="18" t="s">
        <v>135</v>
      </c>
      <c r="B22" s="6"/>
      <c r="C22" s="6"/>
      <c r="D22" s="6"/>
      <c r="E22" s="6"/>
      <c r="F22" s="6"/>
      <c r="G22" s="6"/>
      <c r="H22" s="6"/>
      <c r="I22" s="6"/>
      <c r="J22" s="6">
        <f>J10*0.1*Hypotheses!$D$2</f>
        <v>0</v>
      </c>
      <c r="K22" s="6">
        <f>K10*0.1*Hypotheses!$D$2</f>
        <v>0</v>
      </c>
      <c r="L22" s="85">
        <f>L10*0.1*Hypotheses!$D$2</f>
        <v>300</v>
      </c>
      <c r="M22" s="85">
        <f>M10*0.1*Hypotheses!$D$2</f>
        <v>300</v>
      </c>
      <c r="N22" s="85">
        <f>N10*0.1*Hypotheses!$D$2</f>
        <v>300</v>
      </c>
      <c r="O22" s="85">
        <f>O10*0.1*Hypotheses!$D$2</f>
        <v>360</v>
      </c>
      <c r="P22" s="85">
        <f>P10*0.1*Hypotheses!$D$2</f>
        <v>360</v>
      </c>
      <c r="Q22" s="85">
        <f>Q10*0.1*Hypotheses!$D$2</f>
        <v>420</v>
      </c>
      <c r="R22" s="85">
        <f>R10*0.1*Hypotheses!$D$2</f>
        <v>420</v>
      </c>
      <c r="S22" s="85">
        <f>S10*0.1*Hypotheses!$D$2</f>
        <v>540</v>
      </c>
      <c r="T22" s="85">
        <f>T10*0.1*Hypotheses!$D$2</f>
        <v>540</v>
      </c>
      <c r="U22" s="85">
        <f>U10*0.1*Hypotheses!$D$2</f>
        <v>600</v>
      </c>
      <c r="V22" s="85">
        <f>V10*0.1*Hypotheses!$D$2</f>
        <v>900</v>
      </c>
      <c r="W22" s="6">
        <f>W10*0.1*Hypotheses!$D$2</f>
        <v>1020</v>
      </c>
      <c r="X22" s="6">
        <f>X10*0.1*Hypotheses!$D$2</f>
        <v>1020</v>
      </c>
      <c r="Y22" s="6">
        <f>Y10*0.1*Hypotheses!$D$2</f>
        <v>1080</v>
      </c>
      <c r="Z22" s="6">
        <f>Z10*0.1*Hypotheses!$D$2</f>
        <v>1200</v>
      </c>
      <c r="AA22" s="6">
        <f>AA10*0.1*Hypotheses!$D$2</f>
        <v>1200</v>
      </c>
      <c r="AB22" s="6">
        <f>AB10*0.1*Hypotheses!$D$2</f>
        <v>1800</v>
      </c>
      <c r="AC22" s="6">
        <f>AC10*0.1*Hypotheses!$D$2</f>
        <v>1800</v>
      </c>
      <c r="AD22" s="6">
        <f>AD10*0.1*Hypotheses!$D$2</f>
        <v>1800</v>
      </c>
      <c r="AE22" s="6">
        <f>AE10*0.1*Hypotheses!$D$2</f>
        <v>1920</v>
      </c>
      <c r="AF22" s="6">
        <f>AF10*0.1*Hypotheses!$D$2</f>
        <v>2040</v>
      </c>
      <c r="AG22" s="6">
        <f>AG10*0.1*Hypotheses!$D$2</f>
        <v>2040</v>
      </c>
      <c r="AH22" s="6">
        <f>AH10*0.1*Hypotheses!$D$2</f>
        <v>2040</v>
      </c>
      <c r="AI22" s="6">
        <f>AI10*0.1*Hypotheses!$D$2</f>
        <v>2400</v>
      </c>
      <c r="AJ22" s="6">
        <f>AJ10*0.1*Hypotheses!$D$2</f>
        <v>2400</v>
      </c>
      <c r="AK22" s="6">
        <f>AK10*0.1*Hypotheses!$D$2</f>
        <v>2400</v>
      </c>
      <c r="AL22" s="6">
        <f>AL10*0.1*Hypotheses!$D$2</f>
        <v>2400</v>
      </c>
      <c r="AM22" s="6">
        <f>AM10*0.1*Hypotheses!$D$2</f>
        <v>2400</v>
      </c>
      <c r="AN22" s="6">
        <f>AN10*0.1*Hypotheses!$D$2</f>
        <v>2400</v>
      </c>
      <c r="AO22" s="6">
        <f>AO10*0.1*Hypotheses!$D$2</f>
        <v>2400</v>
      </c>
      <c r="AP22" s="6">
        <f>AP10*0.1*Hypotheses!$D$2</f>
        <v>2400</v>
      </c>
      <c r="AQ22" s="6">
        <f>AQ10*0.1*Hypotheses!$D$2</f>
        <v>2400</v>
      </c>
      <c r="AR22" s="6">
        <f>AR10*0.1*Hypotheses!$D$2</f>
        <v>2400</v>
      </c>
      <c r="AS22" s="6">
        <f>AS10*0.1*Hypotheses!$D$2</f>
        <v>2400</v>
      </c>
      <c r="AT22" s="6">
        <f>AT10*0.1*Hypotheses!$D$2</f>
        <v>2400</v>
      </c>
      <c r="AU22" s="6">
        <f>AU10*0.1*Hypotheses!$D$2</f>
        <v>2400</v>
      </c>
      <c r="AV22" s="6">
        <f>AV10*0.1*Hypotheses!$D$2</f>
        <v>2400</v>
      </c>
      <c r="AW22" s="6">
        <f>AW10*0.1*Hypotheses!$D$2</f>
        <v>2400</v>
      </c>
    </row>
    <row r="23" spans="1:49" x14ac:dyDescent="0.3">
      <c r="A23" s="18"/>
      <c r="B23" s="6"/>
      <c r="C23" s="6"/>
      <c r="D23" s="6"/>
      <c r="E23" s="6"/>
      <c r="F23" s="6"/>
      <c r="G23" s="6"/>
      <c r="H23" s="6"/>
      <c r="I23" s="6"/>
      <c r="J23" s="6"/>
      <c r="K23" s="6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49" s="29" customFormat="1" x14ac:dyDescent="0.3">
      <c r="A24" s="90" t="s">
        <v>73</v>
      </c>
      <c r="B24" s="91">
        <f>SUM(B26:B38)</f>
        <v>23650</v>
      </c>
      <c r="C24" s="91">
        <f t="shared" ref="C24:AW24" si="50">SUM(C26:C38)</f>
        <v>40785</v>
      </c>
      <c r="D24" s="91">
        <f t="shared" si="50"/>
        <v>1400</v>
      </c>
      <c r="E24" s="91">
        <f t="shared" si="50"/>
        <v>3950</v>
      </c>
      <c r="F24" s="91">
        <f t="shared" si="50"/>
        <v>950</v>
      </c>
      <c r="G24" s="91">
        <f t="shared" si="50"/>
        <v>950</v>
      </c>
      <c r="H24" s="91">
        <f t="shared" si="50"/>
        <v>950</v>
      </c>
      <c r="I24" s="91">
        <f t="shared" si="50"/>
        <v>1450</v>
      </c>
      <c r="J24" s="91">
        <f t="shared" si="50"/>
        <v>950</v>
      </c>
      <c r="K24" s="91">
        <f t="shared" si="50"/>
        <v>950</v>
      </c>
      <c r="L24" s="91">
        <f t="shared" si="50"/>
        <v>950</v>
      </c>
      <c r="M24" s="91">
        <f t="shared" si="50"/>
        <v>950</v>
      </c>
      <c r="N24" s="91">
        <f t="shared" si="50"/>
        <v>850</v>
      </c>
      <c r="O24" s="91">
        <f t="shared" si="50"/>
        <v>7450</v>
      </c>
      <c r="P24" s="91">
        <f t="shared" si="50"/>
        <v>10850</v>
      </c>
      <c r="Q24" s="91">
        <f t="shared" si="50"/>
        <v>950</v>
      </c>
      <c r="R24" s="91">
        <f t="shared" si="50"/>
        <v>950</v>
      </c>
      <c r="S24" s="91">
        <f t="shared" si="50"/>
        <v>950</v>
      </c>
      <c r="T24" s="91">
        <f t="shared" si="50"/>
        <v>950</v>
      </c>
      <c r="U24" s="91">
        <f t="shared" si="50"/>
        <v>950</v>
      </c>
      <c r="V24" s="91">
        <f t="shared" si="50"/>
        <v>21350</v>
      </c>
      <c r="W24" s="91">
        <f t="shared" si="50"/>
        <v>1750</v>
      </c>
      <c r="X24" s="91">
        <f t="shared" si="50"/>
        <v>1750</v>
      </c>
      <c r="Y24" s="91">
        <f t="shared" si="50"/>
        <v>1750</v>
      </c>
      <c r="Z24" s="91">
        <f t="shared" si="50"/>
        <v>2000</v>
      </c>
      <c r="AA24" s="91">
        <f t="shared" si="50"/>
        <v>2000</v>
      </c>
      <c r="AB24" s="91">
        <f t="shared" si="50"/>
        <v>2000</v>
      </c>
      <c r="AC24" s="91">
        <f t="shared" si="50"/>
        <v>2000</v>
      </c>
      <c r="AD24" s="91">
        <f t="shared" si="50"/>
        <v>2000</v>
      </c>
      <c r="AE24" s="91">
        <f t="shared" si="50"/>
        <v>2000</v>
      </c>
      <c r="AF24" s="91">
        <f t="shared" si="50"/>
        <v>2000</v>
      </c>
      <c r="AG24" s="91">
        <f t="shared" si="50"/>
        <v>2000</v>
      </c>
      <c r="AH24" s="91">
        <f t="shared" si="50"/>
        <v>2000</v>
      </c>
      <c r="AI24" s="91">
        <f t="shared" si="50"/>
        <v>2000</v>
      </c>
      <c r="AJ24" s="91">
        <f t="shared" si="50"/>
        <v>2000</v>
      </c>
      <c r="AK24" s="91">
        <f t="shared" si="50"/>
        <v>2000</v>
      </c>
      <c r="AL24" s="91">
        <f t="shared" si="50"/>
        <v>2700</v>
      </c>
      <c r="AM24" s="91">
        <f t="shared" si="50"/>
        <v>2700</v>
      </c>
      <c r="AN24" s="91">
        <f t="shared" si="50"/>
        <v>2700</v>
      </c>
      <c r="AO24" s="91">
        <f t="shared" si="50"/>
        <v>2700</v>
      </c>
      <c r="AP24" s="91">
        <f t="shared" si="50"/>
        <v>2700</v>
      </c>
      <c r="AQ24" s="91">
        <f t="shared" si="50"/>
        <v>2700</v>
      </c>
      <c r="AR24" s="91">
        <f t="shared" si="50"/>
        <v>2700</v>
      </c>
      <c r="AS24" s="91">
        <f t="shared" si="50"/>
        <v>2700</v>
      </c>
      <c r="AT24" s="91">
        <f t="shared" si="50"/>
        <v>2700</v>
      </c>
      <c r="AU24" s="91">
        <f t="shared" si="50"/>
        <v>2700</v>
      </c>
      <c r="AV24" s="91">
        <f t="shared" si="50"/>
        <v>2700</v>
      </c>
      <c r="AW24" s="91">
        <f t="shared" si="50"/>
        <v>2700</v>
      </c>
    </row>
    <row r="25" spans="1:49" x14ac:dyDescent="0.3">
      <c r="A25" s="48" t="s">
        <v>9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</row>
    <row r="26" spans="1:49" x14ac:dyDescent="0.3">
      <c r="A26" s="18" t="s">
        <v>110</v>
      </c>
      <c r="B26" s="6">
        <v>8000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/>
      <c r="P26" s="6">
        <v>0</v>
      </c>
      <c r="Q26" s="6">
        <v>0</v>
      </c>
      <c r="R26" s="6">
        <v>0</v>
      </c>
      <c r="T26" s="6">
        <v>0</v>
      </c>
      <c r="U26" s="6">
        <v>0</v>
      </c>
      <c r="V26" s="85">
        <v>10000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49" x14ac:dyDescent="0.3">
      <c r="A27" s="18" t="s">
        <v>111</v>
      </c>
      <c r="B27" s="6">
        <v>5000</v>
      </c>
      <c r="C27" s="6">
        <v>7500</v>
      </c>
      <c r="D27" s="6">
        <v>0</v>
      </c>
      <c r="E27" s="6">
        <v>0</v>
      </c>
      <c r="F27" s="6">
        <v>0</v>
      </c>
      <c r="G27" s="6">
        <v>0</v>
      </c>
      <c r="H27" s="6"/>
      <c r="I27" s="6">
        <v>0</v>
      </c>
      <c r="J27" s="6">
        <v>0</v>
      </c>
      <c r="K27" s="6">
        <v>0</v>
      </c>
      <c r="L27" s="6"/>
      <c r="M27" s="6">
        <v>0</v>
      </c>
      <c r="N27" s="6">
        <v>0</v>
      </c>
      <c r="O27" s="6">
        <v>0</v>
      </c>
      <c r="P27" s="6">
        <v>10000</v>
      </c>
      <c r="Q27" s="6">
        <v>0</v>
      </c>
      <c r="R27" s="6">
        <v>0</v>
      </c>
      <c r="T27" s="6">
        <v>0</v>
      </c>
      <c r="U27" s="6">
        <v>0</v>
      </c>
      <c r="V27" s="85">
        <v>10000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x14ac:dyDescent="0.3">
      <c r="A28" s="18" t="s">
        <v>10</v>
      </c>
      <c r="B28" s="6">
        <v>400</v>
      </c>
      <c r="C28" s="6">
        <v>400</v>
      </c>
      <c r="D28" s="6">
        <v>400</v>
      </c>
      <c r="E28" s="6">
        <v>400</v>
      </c>
      <c r="F28" s="6">
        <v>400</v>
      </c>
      <c r="G28" s="6">
        <v>400</v>
      </c>
      <c r="H28" s="6">
        <v>400</v>
      </c>
      <c r="I28" s="6">
        <v>400</v>
      </c>
      <c r="J28" s="6">
        <v>400</v>
      </c>
      <c r="K28" s="6">
        <v>400</v>
      </c>
      <c r="L28" s="6">
        <v>400</v>
      </c>
      <c r="M28" s="6">
        <v>400</v>
      </c>
      <c r="N28" s="6">
        <v>600</v>
      </c>
      <c r="O28" s="6">
        <v>600</v>
      </c>
      <c r="P28" s="6">
        <v>600</v>
      </c>
      <c r="Q28" s="6">
        <v>600</v>
      </c>
      <c r="R28" s="6">
        <v>600</v>
      </c>
      <c r="S28" s="6">
        <v>600</v>
      </c>
      <c r="T28" s="6">
        <v>600</v>
      </c>
      <c r="U28" s="6">
        <v>600</v>
      </c>
      <c r="V28" s="85">
        <v>1000</v>
      </c>
      <c r="W28" s="6">
        <v>1000</v>
      </c>
      <c r="X28" s="6">
        <v>1000</v>
      </c>
      <c r="Y28" s="6">
        <v>1000</v>
      </c>
      <c r="Z28" s="6">
        <v>1000</v>
      </c>
      <c r="AA28" s="6">
        <v>1000</v>
      </c>
      <c r="AB28" s="6">
        <v>1000</v>
      </c>
      <c r="AC28" s="6">
        <v>1000</v>
      </c>
      <c r="AD28" s="6">
        <v>1000</v>
      </c>
      <c r="AE28" s="6">
        <v>1000</v>
      </c>
      <c r="AF28" s="6">
        <v>1000</v>
      </c>
      <c r="AG28" s="6">
        <v>1000</v>
      </c>
      <c r="AH28" s="6">
        <v>1000</v>
      </c>
      <c r="AI28" s="6">
        <v>1000</v>
      </c>
      <c r="AJ28" s="6">
        <v>1000</v>
      </c>
      <c r="AK28" s="6">
        <v>1000</v>
      </c>
      <c r="AL28" s="6">
        <v>1500</v>
      </c>
      <c r="AM28" s="6">
        <v>1500</v>
      </c>
      <c r="AN28" s="6">
        <v>1500</v>
      </c>
      <c r="AO28" s="6">
        <v>1500</v>
      </c>
      <c r="AP28" s="6">
        <v>1500</v>
      </c>
      <c r="AQ28" s="6">
        <v>1500</v>
      </c>
      <c r="AR28" s="6">
        <v>1500</v>
      </c>
      <c r="AS28" s="6">
        <v>1500</v>
      </c>
      <c r="AT28" s="6">
        <v>1500</v>
      </c>
      <c r="AU28" s="6">
        <v>1500</v>
      </c>
      <c r="AV28" s="6">
        <v>1500</v>
      </c>
      <c r="AW28" s="6">
        <v>1500</v>
      </c>
    </row>
    <row r="29" spans="1:49" x14ac:dyDescent="0.3">
      <c r="A29" s="48" t="s">
        <v>11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</row>
    <row r="30" spans="1:49" x14ac:dyDescent="0.3">
      <c r="A30" s="1" t="s">
        <v>112</v>
      </c>
      <c r="B30" s="6">
        <v>0</v>
      </c>
      <c r="C30" s="6">
        <v>0</v>
      </c>
      <c r="D30" s="6">
        <v>0</v>
      </c>
      <c r="E30" s="6">
        <v>3000</v>
      </c>
      <c r="F30" s="6">
        <v>0</v>
      </c>
      <c r="G30" s="6"/>
      <c r="H30" s="6">
        <v>0</v>
      </c>
      <c r="I30" s="6">
        <v>0</v>
      </c>
      <c r="J30" s="6"/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49" x14ac:dyDescent="0.3">
      <c r="A31" s="48" t="s">
        <v>12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</row>
    <row r="32" spans="1:49" x14ac:dyDescent="0.3">
      <c r="A32" s="1" t="s">
        <v>113</v>
      </c>
      <c r="B32" s="6">
        <v>0</v>
      </c>
      <c r="C32" s="6">
        <v>2500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</row>
    <row r="33" spans="1:49" x14ac:dyDescent="0.3">
      <c r="A33" s="1" t="s">
        <v>114</v>
      </c>
      <c r="B33" s="6">
        <v>250</v>
      </c>
      <c r="C33" s="6">
        <v>250</v>
      </c>
      <c r="D33" s="6">
        <v>250</v>
      </c>
      <c r="E33" s="6">
        <v>250</v>
      </c>
      <c r="F33" s="6">
        <v>250</v>
      </c>
      <c r="G33" s="6">
        <v>250</v>
      </c>
      <c r="H33" s="6">
        <v>250</v>
      </c>
      <c r="I33" s="6">
        <v>750</v>
      </c>
      <c r="J33" s="6">
        <v>250</v>
      </c>
      <c r="K33" s="6">
        <v>250</v>
      </c>
      <c r="L33" s="6">
        <v>250</v>
      </c>
      <c r="M33" s="6">
        <v>250</v>
      </c>
      <c r="N33" s="6">
        <v>250</v>
      </c>
      <c r="O33" s="6">
        <v>250</v>
      </c>
      <c r="P33" s="6">
        <v>250</v>
      </c>
      <c r="Q33" s="6">
        <v>350</v>
      </c>
      <c r="R33" s="6">
        <v>350</v>
      </c>
      <c r="S33" s="6">
        <v>350</v>
      </c>
      <c r="T33" s="6">
        <v>350</v>
      </c>
      <c r="U33" s="6">
        <v>350</v>
      </c>
      <c r="V33" s="6">
        <v>350</v>
      </c>
      <c r="W33" s="6">
        <v>750</v>
      </c>
      <c r="X33" s="6">
        <v>750</v>
      </c>
      <c r="Y33" s="6">
        <v>750</v>
      </c>
      <c r="Z33" s="6">
        <v>1000</v>
      </c>
      <c r="AA33" s="6">
        <v>1000</v>
      </c>
      <c r="AB33" s="6">
        <v>1000</v>
      </c>
      <c r="AC33" s="6">
        <v>1000</v>
      </c>
      <c r="AD33" s="6">
        <v>1000</v>
      </c>
      <c r="AE33" s="6">
        <v>1000</v>
      </c>
      <c r="AF33" s="6">
        <v>1000</v>
      </c>
      <c r="AG33" s="6">
        <v>1000</v>
      </c>
      <c r="AH33" s="6">
        <v>1000</v>
      </c>
      <c r="AI33" s="6">
        <v>1000</v>
      </c>
      <c r="AJ33" s="6">
        <v>1000</v>
      </c>
      <c r="AK33" s="6">
        <v>1000</v>
      </c>
      <c r="AL33" s="6">
        <v>1200</v>
      </c>
      <c r="AM33" s="6">
        <v>1200</v>
      </c>
      <c r="AN33" s="6">
        <v>1200</v>
      </c>
      <c r="AO33" s="6">
        <v>1200</v>
      </c>
      <c r="AP33" s="6">
        <v>1200</v>
      </c>
      <c r="AQ33" s="6">
        <v>1200</v>
      </c>
      <c r="AR33" s="6">
        <v>1200</v>
      </c>
      <c r="AS33" s="6">
        <v>1200</v>
      </c>
      <c r="AT33" s="6">
        <v>1200</v>
      </c>
      <c r="AU33" s="6">
        <v>1200</v>
      </c>
      <c r="AV33" s="6">
        <v>1200</v>
      </c>
      <c r="AW33" s="6">
        <v>1200</v>
      </c>
    </row>
    <row r="34" spans="1:49" x14ac:dyDescent="0.3">
      <c r="A34" s="1" t="s">
        <v>115</v>
      </c>
      <c r="B34" s="6"/>
      <c r="C34" s="6">
        <v>20000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</row>
    <row r="35" spans="1:49" x14ac:dyDescent="0.3">
      <c r="A35" s="3" t="s">
        <v>116</v>
      </c>
      <c r="B35" s="6">
        <v>10000</v>
      </c>
      <c r="C35" s="6">
        <v>2500</v>
      </c>
      <c r="D35" s="6"/>
      <c r="E35" s="6"/>
      <c r="F35" s="6"/>
      <c r="G35" s="6"/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/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/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</row>
    <row r="36" spans="1:49" s="8" customFormat="1" outlineLevel="1" x14ac:dyDescent="0.3">
      <c r="A36" s="18" t="s">
        <v>117</v>
      </c>
      <c r="C36" s="6">
        <v>7635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6600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49" x14ac:dyDescent="0.3">
      <c r="A37" s="1" t="s">
        <v>118</v>
      </c>
      <c r="B37" s="6"/>
      <c r="C37" s="6"/>
      <c r="D37" s="6">
        <v>750</v>
      </c>
      <c r="E37" s="6">
        <v>300</v>
      </c>
      <c r="F37" s="6">
        <v>300</v>
      </c>
      <c r="G37" s="6">
        <v>300</v>
      </c>
      <c r="H37" s="6">
        <v>300</v>
      </c>
      <c r="I37" s="6">
        <v>300</v>
      </c>
      <c r="J37" s="6">
        <v>300</v>
      </c>
      <c r="K37" s="6">
        <v>300</v>
      </c>
      <c r="L37" s="6">
        <v>300</v>
      </c>
      <c r="M37" s="6">
        <v>300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</row>
    <row r="38" spans="1:49" x14ac:dyDescent="0.3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</row>
    <row r="39" spans="1:49" s="8" customFormat="1" x14ac:dyDescent="0.3">
      <c r="A39" s="90" t="s">
        <v>76</v>
      </c>
      <c r="B39" s="91">
        <f t="shared" ref="B39:AW39" si="51">SUM(B40:B50)</f>
        <v>5647.4</v>
      </c>
      <c r="C39" s="91">
        <f t="shared" si="51"/>
        <v>2147.4</v>
      </c>
      <c r="D39" s="91">
        <f t="shared" si="51"/>
        <v>2147.4</v>
      </c>
      <c r="E39" s="91">
        <f t="shared" si="51"/>
        <v>3747.4</v>
      </c>
      <c r="F39" s="91">
        <f t="shared" si="51"/>
        <v>2747.4</v>
      </c>
      <c r="G39" s="91">
        <f t="shared" si="51"/>
        <v>2747.4</v>
      </c>
      <c r="H39" s="91">
        <f t="shared" si="51"/>
        <v>2747.4</v>
      </c>
      <c r="I39" s="91">
        <f t="shared" si="51"/>
        <v>2747.4</v>
      </c>
      <c r="J39" s="91">
        <f t="shared" si="51"/>
        <v>2747.4</v>
      </c>
      <c r="K39" s="91">
        <f t="shared" si="51"/>
        <v>2287.4</v>
      </c>
      <c r="L39" s="91">
        <f t="shared" si="51"/>
        <v>2287.4</v>
      </c>
      <c r="M39" s="91">
        <f t="shared" si="51"/>
        <v>2287.4</v>
      </c>
      <c r="N39" s="91">
        <f t="shared" si="51"/>
        <v>2687.4</v>
      </c>
      <c r="O39" s="91">
        <f t="shared" si="51"/>
        <v>2687.4</v>
      </c>
      <c r="P39" s="91">
        <f t="shared" si="51"/>
        <v>2687.4</v>
      </c>
      <c r="Q39" s="91">
        <f t="shared" si="51"/>
        <v>2687.4</v>
      </c>
      <c r="R39" s="91">
        <f t="shared" si="51"/>
        <v>3687.4</v>
      </c>
      <c r="S39" s="91">
        <f t="shared" si="51"/>
        <v>3687.4</v>
      </c>
      <c r="T39" s="91">
        <f t="shared" si="51"/>
        <v>3687.4</v>
      </c>
      <c r="U39" s="91">
        <f t="shared" si="51"/>
        <v>3687.4</v>
      </c>
      <c r="V39" s="91">
        <f t="shared" si="51"/>
        <v>3687.4</v>
      </c>
      <c r="W39" s="91">
        <f t="shared" si="51"/>
        <v>3687.4</v>
      </c>
      <c r="X39" s="91">
        <f t="shared" si="51"/>
        <v>3687.4</v>
      </c>
      <c r="Y39" s="91">
        <f t="shared" si="51"/>
        <v>3587.4</v>
      </c>
      <c r="Z39" s="91">
        <f t="shared" si="51"/>
        <v>4087.4</v>
      </c>
      <c r="AA39" s="91">
        <f t="shared" si="51"/>
        <v>4087.4</v>
      </c>
      <c r="AB39" s="91">
        <f t="shared" si="51"/>
        <v>4087.4</v>
      </c>
      <c r="AC39" s="91">
        <f t="shared" si="51"/>
        <v>4087.4</v>
      </c>
      <c r="AD39" s="91">
        <f t="shared" si="51"/>
        <v>4087.4</v>
      </c>
      <c r="AE39" s="91">
        <f t="shared" si="51"/>
        <v>4087.4</v>
      </c>
      <c r="AF39" s="91">
        <f t="shared" si="51"/>
        <v>4087.4</v>
      </c>
      <c r="AG39" s="91">
        <f t="shared" si="51"/>
        <v>4087.4</v>
      </c>
      <c r="AH39" s="91">
        <f t="shared" si="51"/>
        <v>4087.4</v>
      </c>
      <c r="AI39" s="91">
        <f t="shared" si="51"/>
        <v>4087.4</v>
      </c>
      <c r="AJ39" s="91">
        <f t="shared" si="51"/>
        <v>4087.4</v>
      </c>
      <c r="AK39" s="91">
        <f t="shared" si="51"/>
        <v>4087.4</v>
      </c>
      <c r="AL39" s="91">
        <f t="shared" si="51"/>
        <v>4087.4</v>
      </c>
      <c r="AM39" s="91">
        <f t="shared" si="51"/>
        <v>4087.4</v>
      </c>
      <c r="AN39" s="91">
        <f t="shared" si="51"/>
        <v>4087.4</v>
      </c>
      <c r="AO39" s="91">
        <f t="shared" si="51"/>
        <v>4087.4</v>
      </c>
      <c r="AP39" s="91">
        <f t="shared" si="51"/>
        <v>4087.4</v>
      </c>
      <c r="AQ39" s="91">
        <f t="shared" si="51"/>
        <v>4087.4</v>
      </c>
      <c r="AR39" s="91">
        <f t="shared" si="51"/>
        <v>4087.4</v>
      </c>
      <c r="AS39" s="91">
        <f t="shared" si="51"/>
        <v>4087.4</v>
      </c>
      <c r="AT39" s="91">
        <f t="shared" si="51"/>
        <v>4087.4</v>
      </c>
      <c r="AU39" s="91">
        <f t="shared" si="51"/>
        <v>4087.4</v>
      </c>
      <c r="AV39" s="91">
        <f t="shared" si="51"/>
        <v>4087.4</v>
      </c>
      <c r="AW39" s="91">
        <f t="shared" si="51"/>
        <v>4087.4</v>
      </c>
    </row>
    <row r="40" spans="1:49" s="8" customFormat="1" outlineLevel="1" x14ac:dyDescent="0.3">
      <c r="A40" s="18" t="s">
        <v>119</v>
      </c>
      <c r="B40" s="6">
        <v>1460</v>
      </c>
      <c r="C40" s="6">
        <v>1460</v>
      </c>
      <c r="D40" s="6">
        <v>1460</v>
      </c>
      <c r="E40" s="6">
        <v>1460</v>
      </c>
      <c r="F40" s="6">
        <v>1460</v>
      </c>
      <c r="G40" s="6">
        <v>1460</v>
      </c>
      <c r="H40" s="6">
        <v>1460</v>
      </c>
      <c r="I40" s="6">
        <v>1460</v>
      </c>
      <c r="J40" s="6">
        <v>1460</v>
      </c>
      <c r="K40" s="6">
        <v>1000</v>
      </c>
      <c r="L40" s="6">
        <v>1000</v>
      </c>
      <c r="M40" s="6">
        <v>1000</v>
      </c>
      <c r="N40" s="6">
        <v>1000</v>
      </c>
      <c r="O40" s="6">
        <v>1000</v>
      </c>
      <c r="P40" s="6">
        <v>1000</v>
      </c>
      <c r="Q40" s="6">
        <v>1000</v>
      </c>
      <c r="R40" s="6">
        <v>1000</v>
      </c>
      <c r="S40" s="6">
        <v>1000</v>
      </c>
      <c r="T40" s="6">
        <v>1000</v>
      </c>
      <c r="U40" s="6">
        <v>1000</v>
      </c>
      <c r="V40" s="6">
        <v>1000</v>
      </c>
      <c r="W40" s="6">
        <v>1000</v>
      </c>
      <c r="X40" s="6">
        <v>1000</v>
      </c>
      <c r="Y40" s="6">
        <v>1000</v>
      </c>
      <c r="Z40" s="6">
        <v>1500</v>
      </c>
      <c r="AA40" s="6">
        <v>1500</v>
      </c>
      <c r="AB40" s="6">
        <v>1500</v>
      </c>
      <c r="AC40" s="6">
        <v>1500</v>
      </c>
      <c r="AD40" s="6">
        <v>1500</v>
      </c>
      <c r="AE40" s="6">
        <v>1500</v>
      </c>
      <c r="AF40" s="6">
        <v>1500</v>
      </c>
      <c r="AG40" s="6">
        <v>1500</v>
      </c>
      <c r="AH40" s="6">
        <v>1500</v>
      </c>
      <c r="AI40" s="6">
        <v>1500</v>
      </c>
      <c r="AJ40" s="6">
        <v>1500</v>
      </c>
      <c r="AK40" s="6">
        <v>1500</v>
      </c>
      <c r="AL40" s="6">
        <v>1500</v>
      </c>
      <c r="AM40" s="6">
        <v>1500</v>
      </c>
      <c r="AN40" s="6">
        <v>1500</v>
      </c>
      <c r="AO40" s="6">
        <v>1500</v>
      </c>
      <c r="AP40" s="6">
        <v>1500</v>
      </c>
      <c r="AQ40" s="6">
        <v>1500</v>
      </c>
      <c r="AR40" s="6">
        <v>1500</v>
      </c>
      <c r="AS40" s="6">
        <v>1500</v>
      </c>
      <c r="AT40" s="6">
        <v>1500</v>
      </c>
      <c r="AU40" s="6">
        <v>1500</v>
      </c>
      <c r="AV40" s="6">
        <v>1500</v>
      </c>
      <c r="AW40" s="6">
        <v>1500</v>
      </c>
    </row>
    <row r="41" spans="1:49" s="8" customFormat="1" outlineLevel="1" x14ac:dyDescent="0.3">
      <c r="A41" s="18" t="s">
        <v>120</v>
      </c>
      <c r="B41" s="6">
        <v>100</v>
      </c>
      <c r="C41" s="6">
        <v>100</v>
      </c>
      <c r="D41" s="6">
        <v>100</v>
      </c>
      <c r="E41" s="6">
        <v>100</v>
      </c>
      <c r="F41" s="6">
        <v>100</v>
      </c>
      <c r="G41" s="6">
        <v>100</v>
      </c>
      <c r="H41" s="6">
        <v>100</v>
      </c>
      <c r="I41" s="6">
        <v>100</v>
      </c>
      <c r="J41" s="6">
        <v>100</v>
      </c>
      <c r="K41" s="6">
        <v>100</v>
      </c>
      <c r="L41" s="6">
        <v>100</v>
      </c>
      <c r="M41" s="6">
        <v>100</v>
      </c>
      <c r="N41" s="6">
        <v>100</v>
      </c>
      <c r="O41" s="6">
        <v>100</v>
      </c>
      <c r="P41" s="6">
        <v>100</v>
      </c>
      <c r="Q41" s="6">
        <v>100</v>
      </c>
      <c r="R41" s="6">
        <v>100</v>
      </c>
      <c r="S41" s="6">
        <v>100</v>
      </c>
      <c r="T41" s="6">
        <v>100</v>
      </c>
      <c r="U41" s="6">
        <v>100</v>
      </c>
      <c r="V41" s="6">
        <v>100</v>
      </c>
      <c r="W41" s="6">
        <v>100</v>
      </c>
      <c r="X41" s="6">
        <v>100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</row>
    <row r="42" spans="1:49" s="8" customFormat="1" outlineLevel="1" x14ac:dyDescent="0.3">
      <c r="A42" s="18" t="s">
        <v>13</v>
      </c>
      <c r="B42" s="6">
        <v>87.4</v>
      </c>
      <c r="C42" s="6">
        <v>87.4</v>
      </c>
      <c r="D42" s="6">
        <v>87.4</v>
      </c>
      <c r="E42" s="6">
        <v>87.4</v>
      </c>
      <c r="F42" s="6">
        <v>87.4</v>
      </c>
      <c r="G42" s="6">
        <v>87.4</v>
      </c>
      <c r="H42" s="6">
        <v>87.4</v>
      </c>
      <c r="I42" s="6">
        <v>87.4</v>
      </c>
      <c r="J42" s="6">
        <v>87.4</v>
      </c>
      <c r="K42" s="6">
        <v>87.4</v>
      </c>
      <c r="L42" s="6">
        <v>87.4</v>
      </c>
      <c r="M42" s="6">
        <v>87.4</v>
      </c>
      <c r="N42" s="6">
        <v>87.4</v>
      </c>
      <c r="O42" s="6">
        <v>87.4</v>
      </c>
      <c r="P42" s="6">
        <v>87.4</v>
      </c>
      <c r="Q42" s="6">
        <v>87.4</v>
      </c>
      <c r="R42" s="6">
        <v>87.4</v>
      </c>
      <c r="S42" s="6">
        <v>87.4</v>
      </c>
      <c r="T42" s="6">
        <v>87.4</v>
      </c>
      <c r="U42" s="6">
        <v>87.4</v>
      </c>
      <c r="V42" s="6">
        <v>87.4</v>
      </c>
      <c r="W42" s="6">
        <v>87.4</v>
      </c>
      <c r="X42" s="6">
        <v>87.4</v>
      </c>
      <c r="Y42" s="6">
        <v>87.4</v>
      </c>
      <c r="Z42" s="6">
        <v>87.4</v>
      </c>
      <c r="AA42" s="6">
        <v>87.4</v>
      </c>
      <c r="AB42" s="6">
        <v>87.4</v>
      </c>
      <c r="AC42" s="6">
        <v>87.4</v>
      </c>
      <c r="AD42" s="6">
        <v>87.4</v>
      </c>
      <c r="AE42" s="6">
        <v>87.4</v>
      </c>
      <c r="AF42" s="6">
        <v>87.4</v>
      </c>
      <c r="AG42" s="6">
        <v>87.4</v>
      </c>
      <c r="AH42" s="6">
        <v>87.4</v>
      </c>
      <c r="AI42" s="6">
        <v>87.4</v>
      </c>
      <c r="AJ42" s="6">
        <v>87.4</v>
      </c>
      <c r="AK42" s="6">
        <v>87.4</v>
      </c>
      <c r="AL42" s="6">
        <v>87.4</v>
      </c>
      <c r="AM42" s="6">
        <v>87.4</v>
      </c>
      <c r="AN42" s="6">
        <v>87.4</v>
      </c>
      <c r="AO42" s="6">
        <v>87.4</v>
      </c>
      <c r="AP42" s="6">
        <v>87.4</v>
      </c>
      <c r="AQ42" s="6">
        <v>87.4</v>
      </c>
      <c r="AR42" s="6">
        <v>87.4</v>
      </c>
      <c r="AS42" s="6">
        <v>87.4</v>
      </c>
      <c r="AT42" s="6">
        <v>87.4</v>
      </c>
      <c r="AU42" s="6">
        <v>87.4</v>
      </c>
      <c r="AV42" s="6">
        <v>87.4</v>
      </c>
      <c r="AW42" s="6">
        <v>87.4</v>
      </c>
    </row>
    <row r="43" spans="1:49" s="8" customFormat="1" outlineLevel="1" x14ac:dyDescent="0.3">
      <c r="A43" s="18" t="s">
        <v>121</v>
      </c>
      <c r="B43" s="6">
        <v>3000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</row>
    <row r="44" spans="1:49" s="8" customFormat="1" outlineLevel="1" x14ac:dyDescent="0.3">
      <c r="A44" s="18" t="s">
        <v>122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</row>
    <row r="45" spans="1:49" s="8" customFormat="1" outlineLevel="1" x14ac:dyDescent="0.3">
      <c r="A45" s="18" t="s">
        <v>123</v>
      </c>
      <c r="B45" s="6">
        <v>500</v>
      </c>
      <c r="C45" s="6">
        <v>0</v>
      </c>
      <c r="D45" s="6">
        <v>0</v>
      </c>
      <c r="E45" s="6">
        <v>1000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</row>
    <row r="46" spans="1:49" s="8" customFormat="1" outlineLevel="1" x14ac:dyDescent="0.3">
      <c r="A46" s="18" t="s">
        <v>124</v>
      </c>
      <c r="B46" s="6">
        <v>200</v>
      </c>
      <c r="C46" s="6">
        <v>200</v>
      </c>
      <c r="D46" s="6">
        <v>200</v>
      </c>
      <c r="E46" s="6">
        <v>500</v>
      </c>
      <c r="F46" s="6">
        <v>500</v>
      </c>
      <c r="G46" s="6">
        <v>500</v>
      </c>
      <c r="H46" s="6">
        <v>500</v>
      </c>
      <c r="I46" s="6">
        <v>500</v>
      </c>
      <c r="J46" s="6">
        <v>500</v>
      </c>
      <c r="K46" s="6">
        <v>500</v>
      </c>
      <c r="L46" s="6">
        <v>500</v>
      </c>
      <c r="M46" s="6">
        <v>500</v>
      </c>
      <c r="N46" s="6">
        <v>500</v>
      </c>
      <c r="O46" s="6">
        <v>500</v>
      </c>
      <c r="P46" s="6">
        <v>500</v>
      </c>
      <c r="Q46" s="6">
        <v>500</v>
      </c>
      <c r="R46" s="6">
        <v>500</v>
      </c>
      <c r="S46" s="6">
        <v>500</v>
      </c>
      <c r="T46" s="6">
        <v>500</v>
      </c>
      <c r="U46" s="6">
        <v>500</v>
      </c>
      <c r="V46" s="6">
        <v>500</v>
      </c>
      <c r="W46" s="6">
        <v>500</v>
      </c>
      <c r="X46" s="6">
        <v>500</v>
      </c>
      <c r="Y46" s="6">
        <v>500</v>
      </c>
      <c r="Z46" s="6">
        <v>500</v>
      </c>
      <c r="AA46" s="6">
        <v>500</v>
      </c>
      <c r="AB46" s="6">
        <v>500</v>
      </c>
      <c r="AC46" s="6">
        <v>500</v>
      </c>
      <c r="AD46" s="6">
        <v>500</v>
      </c>
      <c r="AE46" s="6">
        <v>500</v>
      </c>
      <c r="AF46" s="6">
        <v>500</v>
      </c>
      <c r="AG46" s="6">
        <v>500</v>
      </c>
      <c r="AH46" s="6">
        <v>500</v>
      </c>
      <c r="AI46" s="6">
        <v>500</v>
      </c>
      <c r="AJ46" s="6">
        <v>500</v>
      </c>
      <c r="AK46" s="6">
        <v>500</v>
      </c>
      <c r="AL46" s="6">
        <v>500</v>
      </c>
      <c r="AM46" s="6">
        <v>500</v>
      </c>
      <c r="AN46" s="6">
        <v>500</v>
      </c>
      <c r="AO46" s="6">
        <v>500</v>
      </c>
      <c r="AP46" s="6">
        <v>500</v>
      </c>
      <c r="AQ46" s="6">
        <v>500</v>
      </c>
      <c r="AR46" s="6">
        <v>500</v>
      </c>
      <c r="AS46" s="6">
        <v>500</v>
      </c>
      <c r="AT46" s="6">
        <v>500</v>
      </c>
      <c r="AU46" s="6">
        <v>500</v>
      </c>
      <c r="AV46" s="6">
        <v>500</v>
      </c>
      <c r="AW46" s="6">
        <v>500</v>
      </c>
    </row>
    <row r="47" spans="1:49" s="8" customFormat="1" outlineLevel="1" x14ac:dyDescent="0.3">
      <c r="A47" s="18" t="s">
        <v>125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</row>
    <row r="48" spans="1:49" s="8" customFormat="1" outlineLevel="1" x14ac:dyDescent="0.3">
      <c r="A48" s="18" t="s">
        <v>126</v>
      </c>
      <c r="B48" s="6">
        <v>0</v>
      </c>
      <c r="C48" s="6">
        <v>0</v>
      </c>
      <c r="D48" s="6">
        <v>0</v>
      </c>
      <c r="E48" s="6"/>
      <c r="F48" s="6"/>
      <c r="G48" s="6"/>
      <c r="H48" s="6"/>
      <c r="I48" s="6"/>
      <c r="J48" s="6"/>
      <c r="K48" s="6"/>
      <c r="L48" s="85"/>
      <c r="M48" s="6"/>
      <c r="N48" s="6"/>
      <c r="O48" s="6"/>
      <c r="P48" s="6"/>
      <c r="Q48" s="6"/>
      <c r="R48" s="6">
        <v>1000</v>
      </c>
      <c r="S48" s="6">
        <v>1000</v>
      </c>
      <c r="T48" s="6">
        <v>1000</v>
      </c>
      <c r="U48" s="6">
        <v>1000</v>
      </c>
      <c r="V48" s="6">
        <v>1000</v>
      </c>
      <c r="W48" s="6">
        <v>1000</v>
      </c>
      <c r="X48" s="6">
        <v>1000</v>
      </c>
      <c r="Y48" s="6">
        <v>1000</v>
      </c>
      <c r="Z48" s="6">
        <v>1000</v>
      </c>
      <c r="AA48" s="6">
        <v>1000</v>
      </c>
      <c r="AB48" s="6">
        <v>1000</v>
      </c>
      <c r="AC48" s="6">
        <v>1000</v>
      </c>
      <c r="AD48" s="6">
        <v>1000</v>
      </c>
      <c r="AE48" s="6">
        <v>1000</v>
      </c>
      <c r="AF48" s="6">
        <v>1000</v>
      </c>
      <c r="AG48" s="6">
        <v>1000</v>
      </c>
      <c r="AH48" s="6">
        <v>1000</v>
      </c>
      <c r="AI48" s="6">
        <v>1000</v>
      </c>
      <c r="AJ48" s="6">
        <v>1000</v>
      </c>
      <c r="AK48" s="6">
        <v>1000</v>
      </c>
      <c r="AL48" s="6">
        <v>1000</v>
      </c>
      <c r="AM48" s="6">
        <v>1000</v>
      </c>
      <c r="AN48" s="6">
        <v>1000</v>
      </c>
      <c r="AO48" s="6">
        <v>1000</v>
      </c>
      <c r="AP48" s="6">
        <v>1000</v>
      </c>
      <c r="AQ48" s="6">
        <v>1000</v>
      </c>
      <c r="AR48" s="6">
        <v>1000</v>
      </c>
      <c r="AS48" s="6">
        <v>1000</v>
      </c>
      <c r="AT48" s="6">
        <v>1000</v>
      </c>
      <c r="AU48" s="6">
        <v>1000</v>
      </c>
      <c r="AV48" s="6">
        <v>1000</v>
      </c>
      <c r="AW48" s="6">
        <v>1000</v>
      </c>
    </row>
    <row r="49" spans="1:49" s="8" customFormat="1" outlineLevel="1" x14ac:dyDescent="0.3">
      <c r="A49" s="18" t="s">
        <v>14</v>
      </c>
      <c r="B49" s="6">
        <v>300</v>
      </c>
      <c r="C49" s="6">
        <v>300</v>
      </c>
      <c r="D49" s="6">
        <v>300</v>
      </c>
      <c r="E49" s="6">
        <v>600</v>
      </c>
      <c r="F49" s="6">
        <v>600</v>
      </c>
      <c r="G49" s="6">
        <v>600</v>
      </c>
      <c r="H49" s="6">
        <v>600</v>
      </c>
      <c r="I49" s="6">
        <v>600</v>
      </c>
      <c r="J49" s="6">
        <v>600</v>
      </c>
      <c r="K49" s="6">
        <v>600</v>
      </c>
      <c r="L49" s="6">
        <v>600</v>
      </c>
      <c r="M49" s="6">
        <v>600</v>
      </c>
      <c r="N49" s="6">
        <v>1000</v>
      </c>
      <c r="O49" s="6">
        <v>1000</v>
      </c>
      <c r="P49" s="6">
        <v>1000</v>
      </c>
      <c r="Q49" s="6">
        <v>1000</v>
      </c>
      <c r="R49" s="6">
        <v>1000</v>
      </c>
      <c r="S49" s="6">
        <v>1000</v>
      </c>
      <c r="T49" s="6">
        <v>1000</v>
      </c>
      <c r="U49" s="6">
        <v>1000</v>
      </c>
      <c r="V49" s="6">
        <v>1000</v>
      </c>
      <c r="W49" s="6">
        <v>1000</v>
      </c>
      <c r="X49" s="6">
        <v>1000</v>
      </c>
      <c r="Y49" s="6">
        <v>1000</v>
      </c>
      <c r="Z49" s="6">
        <v>1000</v>
      </c>
      <c r="AA49" s="6">
        <v>1000</v>
      </c>
      <c r="AB49" s="6">
        <v>1000</v>
      </c>
      <c r="AC49" s="6">
        <v>1000</v>
      </c>
      <c r="AD49" s="6">
        <v>1000</v>
      </c>
      <c r="AE49" s="6">
        <v>1000</v>
      </c>
      <c r="AF49" s="6">
        <v>1000</v>
      </c>
      <c r="AG49" s="6">
        <v>1000</v>
      </c>
      <c r="AH49" s="6">
        <v>1000</v>
      </c>
      <c r="AI49" s="6">
        <v>1000</v>
      </c>
      <c r="AJ49" s="6">
        <v>1000</v>
      </c>
      <c r="AK49" s="6">
        <v>1000</v>
      </c>
      <c r="AL49" s="6">
        <v>1000</v>
      </c>
      <c r="AM49" s="6">
        <v>1000</v>
      </c>
      <c r="AN49" s="6">
        <v>1000</v>
      </c>
      <c r="AO49" s="6">
        <v>1000</v>
      </c>
      <c r="AP49" s="6">
        <v>1000</v>
      </c>
      <c r="AQ49" s="6">
        <v>1000</v>
      </c>
      <c r="AR49" s="6">
        <v>1000</v>
      </c>
      <c r="AS49" s="6">
        <v>1000</v>
      </c>
      <c r="AT49" s="6">
        <v>1000</v>
      </c>
      <c r="AU49" s="6">
        <v>1000</v>
      </c>
      <c r="AV49" s="6">
        <v>1000</v>
      </c>
      <c r="AW49" s="6">
        <v>1000</v>
      </c>
    </row>
    <row r="50" spans="1:49" s="8" customFormat="1" outlineLevel="1" x14ac:dyDescent="0.3">
      <c r="A50" s="5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</row>
    <row r="51" spans="1:49" s="8" customFormat="1" x14ac:dyDescent="0.3">
      <c r="A51" s="91" t="s">
        <v>74</v>
      </c>
      <c r="B51" s="91">
        <f t="shared" ref="B51:AW51" si="52">B4-B15-B39-B24</f>
        <v>-39297.4</v>
      </c>
      <c r="C51" s="91">
        <f t="shared" si="52"/>
        <v>-42932.4</v>
      </c>
      <c r="D51" s="91">
        <f t="shared" si="52"/>
        <v>-33547.4</v>
      </c>
      <c r="E51" s="91">
        <f t="shared" si="52"/>
        <v>-7697.4</v>
      </c>
      <c r="F51" s="91">
        <f t="shared" si="52"/>
        <v>-3697.4</v>
      </c>
      <c r="G51" s="91">
        <f t="shared" si="52"/>
        <v>-68697.399999999994</v>
      </c>
      <c r="H51" s="91">
        <f t="shared" si="52"/>
        <v>-3697.4</v>
      </c>
      <c r="I51" s="91">
        <f t="shared" si="52"/>
        <v>-4197.3999999999996</v>
      </c>
      <c r="J51" s="91">
        <f t="shared" si="52"/>
        <v>-8697.4</v>
      </c>
      <c r="K51" s="91">
        <f t="shared" si="52"/>
        <v>-3237.4</v>
      </c>
      <c r="L51" s="91">
        <f t="shared" si="52"/>
        <v>-3646.3669421487602</v>
      </c>
      <c r="M51" s="91">
        <f t="shared" si="52"/>
        <v>-2668.7842975206613</v>
      </c>
      <c r="N51" s="91">
        <f t="shared" si="52"/>
        <v>-1404.6520661157024</v>
      </c>
      <c r="O51" s="91">
        <f t="shared" si="52"/>
        <v>-5935.7636363636357</v>
      </c>
      <c r="P51" s="91">
        <f t="shared" si="52"/>
        <v>-6403.0157024793371</v>
      </c>
      <c r="Q51" s="91">
        <f t="shared" si="52"/>
        <v>7051.7983471074403</v>
      </c>
      <c r="R51" s="91">
        <f t="shared" si="52"/>
        <v>10587.78181818182</v>
      </c>
      <c r="S51" s="91">
        <f t="shared" si="52"/>
        <v>15194.798347107442</v>
      </c>
      <c r="T51" s="91">
        <f t="shared" si="52"/>
        <v>-9408.9454545454482</v>
      </c>
      <c r="U51" s="91">
        <f t="shared" si="52"/>
        <v>26374.757024793391</v>
      </c>
      <c r="V51" s="91">
        <f t="shared" si="52"/>
        <v>-18021.26776859504</v>
      </c>
      <c r="W51" s="91">
        <f t="shared" si="52"/>
        <v>-5725.0900826446214</v>
      </c>
      <c r="X51" s="91">
        <f t="shared" si="52"/>
        <v>48464.186776859511</v>
      </c>
      <c r="Y51" s="91">
        <f t="shared" si="52"/>
        <v>58844.769421487617</v>
      </c>
      <c r="Z51" s="91">
        <f t="shared" si="52"/>
        <v>69427.554545454565</v>
      </c>
      <c r="AA51" s="91">
        <f t="shared" si="52"/>
        <v>82370.748760330593</v>
      </c>
      <c r="AB51" s="91">
        <f t="shared" si="52"/>
        <v>28169.10826446284</v>
      </c>
      <c r="AC51" s="91">
        <f t="shared" si="52"/>
        <v>112327.11652892565</v>
      </c>
      <c r="AD51" s="91">
        <f t="shared" si="52"/>
        <v>130510.15371900829</v>
      </c>
      <c r="AE51" s="91">
        <f t="shared" si="52"/>
        <v>150054.63305785126</v>
      </c>
      <c r="AF51" s="91">
        <f t="shared" si="52"/>
        <v>171397.86446280996</v>
      </c>
      <c r="AG51" s="91">
        <f t="shared" si="52"/>
        <v>82203.434710743808</v>
      </c>
      <c r="AH51" s="91">
        <f t="shared" si="52"/>
        <v>219651.34380165293</v>
      </c>
      <c r="AI51" s="91">
        <f t="shared" si="52"/>
        <v>244577.73223140501</v>
      </c>
      <c r="AJ51" s="91">
        <f t="shared" si="52"/>
        <v>271637.21983471076</v>
      </c>
      <c r="AK51" s="91">
        <f t="shared" si="52"/>
        <v>299869.80661157024</v>
      </c>
      <c r="AL51" s="91">
        <f t="shared" si="52"/>
        <v>328340.87272727274</v>
      </c>
      <c r="AM51" s="91">
        <f t="shared" si="52"/>
        <v>358215.79834710748</v>
      </c>
      <c r="AN51" s="91">
        <f t="shared" si="52"/>
        <v>388794.58347107441</v>
      </c>
      <c r="AO51" s="91">
        <f t="shared" si="52"/>
        <v>420077.22809917358</v>
      </c>
      <c r="AP51" s="91">
        <f t="shared" si="52"/>
        <v>451359.87272727274</v>
      </c>
      <c r="AQ51" s="91">
        <f t="shared" si="52"/>
        <v>482642.51735537197</v>
      </c>
      <c r="AR51" s="91">
        <f t="shared" si="52"/>
        <v>513925.16198347113</v>
      </c>
      <c r="AS51" s="91">
        <f t="shared" si="52"/>
        <v>545207.8066115703</v>
      </c>
      <c r="AT51" s="91">
        <f t="shared" si="52"/>
        <v>576490.45123966946</v>
      </c>
      <c r="AU51" s="91">
        <f t="shared" si="52"/>
        <v>607773.09586776863</v>
      </c>
      <c r="AV51" s="91">
        <f t="shared" si="52"/>
        <v>639055.74049586779</v>
      </c>
      <c r="AW51" s="91">
        <f t="shared" si="52"/>
        <v>670338.38512396696</v>
      </c>
    </row>
    <row r="52" spans="1:49" s="58" customFormat="1" x14ac:dyDescent="0.3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</row>
    <row r="53" spans="1:49" s="29" customFormat="1" x14ac:dyDescent="0.3">
      <c r="A53" s="90" t="s">
        <v>80</v>
      </c>
      <c r="B53" s="91">
        <f t="shared" ref="B53:AW53" si="53">SUM(B54:B64)</f>
        <v>5400</v>
      </c>
      <c r="C53" s="91">
        <f t="shared" si="53"/>
        <v>5400</v>
      </c>
      <c r="D53" s="91">
        <f t="shared" si="53"/>
        <v>5400</v>
      </c>
      <c r="E53" s="91">
        <f t="shared" si="53"/>
        <v>5400</v>
      </c>
      <c r="F53" s="91">
        <f t="shared" si="53"/>
        <v>5400</v>
      </c>
      <c r="G53" s="91">
        <f t="shared" si="53"/>
        <v>5400</v>
      </c>
      <c r="H53" s="91">
        <f t="shared" si="53"/>
        <v>5400</v>
      </c>
      <c r="I53" s="91">
        <f t="shared" si="53"/>
        <v>5400</v>
      </c>
      <c r="J53" s="91">
        <f t="shared" si="53"/>
        <v>5400</v>
      </c>
      <c r="K53" s="91">
        <f t="shared" si="53"/>
        <v>5400</v>
      </c>
      <c r="L53" s="91">
        <f t="shared" si="53"/>
        <v>10449.479166666668</v>
      </c>
      <c r="M53" s="91">
        <f t="shared" si="53"/>
        <v>10449.479166666668</v>
      </c>
      <c r="N53" s="91">
        <f t="shared" si="53"/>
        <v>14250.442708333336</v>
      </c>
      <c r="O53" s="91">
        <f t="shared" si="53"/>
        <v>13200.963541666668</v>
      </c>
      <c r="P53" s="91">
        <f t="shared" si="53"/>
        <v>13200.963541666668</v>
      </c>
      <c r="Q53" s="91">
        <f t="shared" si="53"/>
        <v>13200.963541666668</v>
      </c>
      <c r="R53" s="91">
        <f t="shared" si="53"/>
        <v>13200.963541666668</v>
      </c>
      <c r="S53" s="91">
        <f t="shared" si="53"/>
        <v>13200.963541666668</v>
      </c>
      <c r="T53" s="91">
        <f t="shared" si="53"/>
        <v>33803.854166666672</v>
      </c>
      <c r="U53" s="91">
        <f t="shared" si="53"/>
        <v>33803.854166666672</v>
      </c>
      <c r="V53" s="91">
        <f t="shared" si="53"/>
        <v>57107.708333333343</v>
      </c>
      <c r="W53" s="91">
        <f t="shared" si="53"/>
        <v>57107.708333333343</v>
      </c>
      <c r="X53" s="91">
        <f t="shared" si="53"/>
        <v>57107.708333333343</v>
      </c>
      <c r="Y53" s="91">
        <f t="shared" si="53"/>
        <v>57107.708333333343</v>
      </c>
      <c r="Z53" s="91">
        <f t="shared" si="53"/>
        <v>60456.823958333342</v>
      </c>
      <c r="AA53" s="91">
        <f t="shared" si="53"/>
        <v>54334.546875</v>
      </c>
      <c r="AB53" s="91">
        <f t="shared" si="53"/>
        <v>54334.546875</v>
      </c>
      <c r="AC53" s="91">
        <f t="shared" si="53"/>
        <v>54334.546875</v>
      </c>
      <c r="AD53" s="91">
        <f t="shared" si="53"/>
        <v>54334.546875</v>
      </c>
      <c r="AE53" s="91">
        <f t="shared" si="53"/>
        <v>54334.546875</v>
      </c>
      <c r="AF53" s="91">
        <f t="shared" si="53"/>
        <v>54334.546875</v>
      </c>
      <c r="AG53" s="91">
        <f t="shared" si="53"/>
        <v>54334.546875</v>
      </c>
      <c r="AH53" s="91">
        <f t="shared" si="53"/>
        <v>54334.546875</v>
      </c>
      <c r="AI53" s="91">
        <f t="shared" si="53"/>
        <v>54334.546875</v>
      </c>
      <c r="AJ53" s="91">
        <f t="shared" si="53"/>
        <v>54334.546875</v>
      </c>
      <c r="AK53" s="91">
        <f t="shared" si="53"/>
        <v>54334.546875</v>
      </c>
      <c r="AL53" s="91">
        <f t="shared" si="53"/>
        <v>55649.583281250001</v>
      </c>
      <c r="AM53" s="91">
        <f t="shared" si="53"/>
        <v>55649.583281250001</v>
      </c>
      <c r="AN53" s="91">
        <f t="shared" si="53"/>
        <v>55649.583281250001</v>
      </c>
      <c r="AO53" s="91">
        <f t="shared" si="53"/>
        <v>55649.583281250001</v>
      </c>
      <c r="AP53" s="91">
        <f t="shared" si="53"/>
        <v>55649.583281250001</v>
      </c>
      <c r="AQ53" s="91">
        <f t="shared" si="53"/>
        <v>55649.583281250001</v>
      </c>
      <c r="AR53" s="91">
        <f t="shared" si="53"/>
        <v>55649.583281250001</v>
      </c>
      <c r="AS53" s="91">
        <f t="shared" si="53"/>
        <v>55649.583281250001</v>
      </c>
      <c r="AT53" s="91">
        <f t="shared" si="53"/>
        <v>55649.583281250001</v>
      </c>
      <c r="AU53" s="91">
        <f t="shared" si="53"/>
        <v>55649.583281250001</v>
      </c>
      <c r="AV53" s="91">
        <f t="shared" si="53"/>
        <v>55649.583281250001</v>
      </c>
      <c r="AW53" s="91">
        <f t="shared" si="53"/>
        <v>55649.583281250001</v>
      </c>
    </row>
    <row r="54" spans="1:49" s="8" customFormat="1" outlineLevel="1" x14ac:dyDescent="0.3">
      <c r="A54" s="18" t="str">
        <f>Payroll!A6</f>
        <v>Salary Dirigeant + précompte+loi sociale (Salvatore Arrigo)</v>
      </c>
      <c r="B54" s="81">
        <f>Payroll!F6</f>
        <v>2600</v>
      </c>
      <c r="C54" s="81">
        <f>Payroll!G6</f>
        <v>2600</v>
      </c>
      <c r="D54" s="81">
        <f>Payroll!H6</f>
        <v>2600</v>
      </c>
      <c r="E54" s="81">
        <f>Payroll!I6</f>
        <v>2600</v>
      </c>
      <c r="F54" s="81">
        <f>Payroll!J6</f>
        <v>2600</v>
      </c>
      <c r="G54" s="81">
        <f>Payroll!K6</f>
        <v>2600</v>
      </c>
      <c r="H54" s="81">
        <f>Payroll!L6</f>
        <v>2600</v>
      </c>
      <c r="I54" s="81">
        <f>Payroll!M6</f>
        <v>2600</v>
      </c>
      <c r="J54" s="81">
        <f>Payroll!N6</f>
        <v>2600</v>
      </c>
      <c r="K54" s="81">
        <f>Payroll!O6</f>
        <v>2600</v>
      </c>
      <c r="L54" s="81">
        <f>Payroll!P6</f>
        <v>2600</v>
      </c>
      <c r="M54" s="81">
        <f>Payroll!Q6</f>
        <v>2600</v>
      </c>
      <c r="N54" s="81">
        <f>Payroll!R6</f>
        <v>5049.479166666667</v>
      </c>
      <c r="O54" s="81">
        <f>Payroll!S6</f>
        <v>4000</v>
      </c>
      <c r="P54" s="81">
        <f>Payroll!T6</f>
        <v>4000</v>
      </c>
      <c r="Q54" s="81">
        <f>Payroll!U6</f>
        <v>4000</v>
      </c>
      <c r="R54" s="81">
        <f>Payroll!V6</f>
        <v>4000</v>
      </c>
      <c r="S54" s="81">
        <f>Payroll!W6</f>
        <v>4000</v>
      </c>
      <c r="T54" s="81">
        <f>Payroll!X6</f>
        <v>4000</v>
      </c>
      <c r="U54" s="81">
        <f>Payroll!Y6</f>
        <v>4000</v>
      </c>
      <c r="V54" s="81">
        <f>Payroll!Z6</f>
        <v>4000</v>
      </c>
      <c r="W54" s="81">
        <f>Payroll!AA6</f>
        <v>4000</v>
      </c>
      <c r="X54" s="81">
        <f>Payroll!AB6</f>
        <v>4000</v>
      </c>
      <c r="Y54" s="81">
        <f>Payroll!AC6</f>
        <v>4000</v>
      </c>
      <c r="Z54" s="81">
        <f>Payroll!AD6</f>
        <v>6000</v>
      </c>
      <c r="AA54" s="81">
        <f>Payroll!AE6</f>
        <v>6000</v>
      </c>
      <c r="AB54" s="81">
        <f>Payroll!AF6</f>
        <v>6000</v>
      </c>
      <c r="AC54" s="81">
        <f>Payroll!AG6</f>
        <v>6000</v>
      </c>
      <c r="AD54" s="81">
        <f>Payroll!AH6</f>
        <v>6000</v>
      </c>
      <c r="AE54" s="81">
        <f>Payroll!AI6</f>
        <v>6000</v>
      </c>
      <c r="AF54" s="81">
        <f>Payroll!AJ6</f>
        <v>6000</v>
      </c>
      <c r="AG54" s="81">
        <f>Payroll!AK6</f>
        <v>6000</v>
      </c>
      <c r="AH54" s="81">
        <f>Payroll!AL6</f>
        <v>6000</v>
      </c>
      <c r="AI54" s="81">
        <f>Payroll!AM6</f>
        <v>6000</v>
      </c>
      <c r="AJ54" s="81">
        <f>Payroll!AN6</f>
        <v>6000</v>
      </c>
      <c r="AK54" s="81">
        <f>Payroll!AO6</f>
        <v>6000</v>
      </c>
      <c r="AL54" s="81">
        <f>Payroll!AP6</f>
        <v>6000</v>
      </c>
      <c r="AM54" s="81">
        <f>Payroll!AQ6</f>
        <v>6000</v>
      </c>
      <c r="AN54" s="81">
        <f>Payroll!AR6</f>
        <v>6000</v>
      </c>
      <c r="AO54" s="81">
        <f>Payroll!AS6</f>
        <v>6000</v>
      </c>
      <c r="AP54" s="81">
        <f>Payroll!AT6</f>
        <v>6000</v>
      </c>
      <c r="AQ54" s="81">
        <f>Payroll!AU6</f>
        <v>6000</v>
      </c>
      <c r="AR54" s="81">
        <f>Payroll!AV6</f>
        <v>6000</v>
      </c>
      <c r="AS54" s="81">
        <f>Payroll!AW6</f>
        <v>6000</v>
      </c>
      <c r="AT54" s="81">
        <f>Payroll!AX6</f>
        <v>6000</v>
      </c>
      <c r="AU54" s="81">
        <f>Payroll!AY6</f>
        <v>6000</v>
      </c>
      <c r="AV54" s="81">
        <f>Payroll!AZ6</f>
        <v>6000</v>
      </c>
      <c r="AW54" s="81">
        <f>Payroll!BA6</f>
        <v>6000</v>
      </c>
    </row>
    <row r="55" spans="1:49" s="8" customFormat="1" outlineLevel="1" x14ac:dyDescent="0.3">
      <c r="A55" s="18" t="str">
        <f>Payroll!A7</f>
        <v>salary Product Manager (Pierre Van Nieuwenhove)</v>
      </c>
      <c r="B55" s="81">
        <f>Payroll!F7</f>
        <v>2800</v>
      </c>
      <c r="C55" s="81">
        <f>Payroll!G7</f>
        <v>2800</v>
      </c>
      <c r="D55" s="81">
        <f>Payroll!H7</f>
        <v>2800</v>
      </c>
      <c r="E55" s="81">
        <f>Payroll!I7</f>
        <v>2800</v>
      </c>
      <c r="F55" s="81">
        <f>Payroll!J7</f>
        <v>2800</v>
      </c>
      <c r="G55" s="81">
        <f>Payroll!K7</f>
        <v>2800</v>
      </c>
      <c r="H55" s="81">
        <f>Payroll!L7</f>
        <v>2800</v>
      </c>
      <c r="I55" s="81">
        <f>Payroll!M7</f>
        <v>2800</v>
      </c>
      <c r="J55" s="81">
        <f>Payroll!N7</f>
        <v>2800</v>
      </c>
      <c r="K55" s="81">
        <f>Payroll!O7</f>
        <v>2800</v>
      </c>
      <c r="L55" s="81">
        <f>Payroll!P7</f>
        <v>2800</v>
      </c>
      <c r="M55" s="81">
        <f>Payroll!Q7</f>
        <v>2800</v>
      </c>
      <c r="N55" s="81">
        <f>Payroll!R7</f>
        <v>4000</v>
      </c>
      <c r="O55" s="81">
        <f>Payroll!S7</f>
        <v>4000</v>
      </c>
      <c r="P55" s="81">
        <f>Payroll!T7</f>
        <v>4000</v>
      </c>
      <c r="Q55" s="81">
        <f>Payroll!U7</f>
        <v>4000</v>
      </c>
      <c r="R55" s="81">
        <f>Payroll!V7</f>
        <v>4000</v>
      </c>
      <c r="S55" s="81">
        <f>Payroll!W7</f>
        <v>4000</v>
      </c>
      <c r="T55" s="81">
        <f>Payroll!X7</f>
        <v>4000</v>
      </c>
      <c r="U55" s="81">
        <f>Payroll!Y7</f>
        <v>4000</v>
      </c>
      <c r="V55" s="81">
        <f>Payroll!Z7</f>
        <v>4000</v>
      </c>
      <c r="W55" s="81">
        <f>Payroll!AA7</f>
        <v>4000</v>
      </c>
      <c r="X55" s="81">
        <f>Payroll!AB7</f>
        <v>4000</v>
      </c>
      <c r="Y55" s="81">
        <f>Payroll!AC7</f>
        <v>4000</v>
      </c>
      <c r="Z55" s="81">
        <f>Payroll!AD7</f>
        <v>4500</v>
      </c>
      <c r="AA55" s="81">
        <f>Payroll!AE7</f>
        <v>4500</v>
      </c>
      <c r="AB55" s="81">
        <f>Payroll!AF7</f>
        <v>4500</v>
      </c>
      <c r="AC55" s="81">
        <f>Payroll!AG7</f>
        <v>4500</v>
      </c>
      <c r="AD55" s="81">
        <f>Payroll!AH7</f>
        <v>4500</v>
      </c>
      <c r="AE55" s="81">
        <f>Payroll!AI7</f>
        <v>4500</v>
      </c>
      <c r="AF55" s="81">
        <f>Payroll!AJ7</f>
        <v>4500</v>
      </c>
      <c r="AG55" s="81">
        <f>Payroll!AK7</f>
        <v>4500</v>
      </c>
      <c r="AH55" s="81">
        <f>Payroll!AL7</f>
        <v>4500</v>
      </c>
      <c r="AI55" s="81">
        <f>Payroll!AM7</f>
        <v>4500</v>
      </c>
      <c r="AJ55" s="81">
        <f>Payroll!AN7</f>
        <v>4500</v>
      </c>
      <c r="AK55" s="81">
        <f>Payroll!AO7</f>
        <v>4500</v>
      </c>
      <c r="AL55" s="81">
        <f>Payroll!AP7</f>
        <v>4500</v>
      </c>
      <c r="AM55" s="81">
        <f>Payroll!AQ7</f>
        <v>4500</v>
      </c>
      <c r="AN55" s="81">
        <f>Payroll!AR7</f>
        <v>4500</v>
      </c>
      <c r="AO55" s="81">
        <f>Payroll!AS7</f>
        <v>4500</v>
      </c>
      <c r="AP55" s="81">
        <f>Payroll!AT7</f>
        <v>4500</v>
      </c>
      <c r="AQ55" s="81">
        <f>Payroll!AU7</f>
        <v>4500</v>
      </c>
      <c r="AR55" s="81">
        <f>Payroll!AV7</f>
        <v>4500</v>
      </c>
      <c r="AS55" s="81">
        <f>Payroll!AW7</f>
        <v>4500</v>
      </c>
      <c r="AT55" s="81">
        <f>Payroll!AX7</f>
        <v>4500</v>
      </c>
      <c r="AU55" s="81">
        <f>Payroll!AY7</f>
        <v>4500</v>
      </c>
      <c r="AV55" s="81">
        <f>Payroll!AZ7</f>
        <v>4500</v>
      </c>
      <c r="AW55" s="81">
        <f>Payroll!BA7</f>
        <v>4500</v>
      </c>
    </row>
    <row r="56" spans="1:49" outlineLevel="1" x14ac:dyDescent="0.3">
      <c r="A56" s="18" t="str">
        <f>Payroll!A8</f>
        <v>salary IT manager (Fadwa Gmiden)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>
        <f>Payroll!P8</f>
        <v>5049.479166666667</v>
      </c>
      <c r="M56" s="81">
        <f>Payroll!Q8</f>
        <v>5049.479166666667</v>
      </c>
      <c r="N56" s="81">
        <f>Payroll!R8</f>
        <v>5200.963541666667</v>
      </c>
      <c r="O56" s="81">
        <f>Payroll!S8</f>
        <v>5200.963541666667</v>
      </c>
      <c r="P56" s="81">
        <f>Payroll!T8</f>
        <v>5200.963541666667</v>
      </c>
      <c r="Q56" s="81">
        <f>Payroll!U8</f>
        <v>5200.963541666667</v>
      </c>
      <c r="R56" s="81">
        <f>Payroll!V8</f>
        <v>5200.963541666667</v>
      </c>
      <c r="S56" s="81">
        <f>Payroll!W8</f>
        <v>5200.963541666667</v>
      </c>
      <c r="T56" s="81">
        <f>Payroll!X8</f>
        <v>5200.963541666667</v>
      </c>
      <c r="U56" s="81">
        <f>Payroll!Y8</f>
        <v>5200.963541666667</v>
      </c>
      <c r="V56" s="81">
        <f>Payroll!Z8</f>
        <v>5200.963541666667</v>
      </c>
      <c r="W56" s="81">
        <f>Payroll!AA8</f>
        <v>5200.963541666667</v>
      </c>
      <c r="X56" s="81">
        <f>Payroll!AB8</f>
        <v>5200.963541666667</v>
      </c>
      <c r="Y56" s="81">
        <f>Payroll!AC8</f>
        <v>5200.963541666667</v>
      </c>
      <c r="Z56" s="81">
        <f>Payroll!AD8</f>
        <v>5356.9924479166675</v>
      </c>
      <c r="AA56" s="81">
        <f>Payroll!AE8</f>
        <v>3826.4231770833335</v>
      </c>
      <c r="AB56" s="81">
        <f>Payroll!AF8</f>
        <v>3826.4231770833335</v>
      </c>
      <c r="AC56" s="81">
        <f>Payroll!AG8</f>
        <v>3826.4231770833335</v>
      </c>
      <c r="AD56" s="81">
        <f>Payroll!AH8</f>
        <v>3826.4231770833335</v>
      </c>
      <c r="AE56" s="81">
        <f>Payroll!AI8</f>
        <v>3826.4231770833335</v>
      </c>
      <c r="AF56" s="81">
        <f>Payroll!AJ8</f>
        <v>3826.4231770833335</v>
      </c>
      <c r="AG56" s="81">
        <f>Payroll!AK8</f>
        <v>3826.4231770833335</v>
      </c>
      <c r="AH56" s="81">
        <f>Payroll!AL8</f>
        <v>3826.4231770833335</v>
      </c>
      <c r="AI56" s="81">
        <f>Payroll!AM8</f>
        <v>3826.4231770833335</v>
      </c>
      <c r="AJ56" s="81">
        <f>Payroll!AN8</f>
        <v>3826.4231770833335</v>
      </c>
      <c r="AK56" s="81">
        <f>Payroll!AO8</f>
        <v>3826.4231770833335</v>
      </c>
      <c r="AL56" s="81">
        <f>Payroll!AP8</f>
        <v>3941.2158723958337</v>
      </c>
      <c r="AM56" s="81">
        <f>Payroll!AQ8</f>
        <v>3941.2158723958337</v>
      </c>
      <c r="AN56" s="81">
        <f>Payroll!AR8</f>
        <v>3941.2158723958337</v>
      </c>
      <c r="AO56" s="81">
        <f>Payroll!AS8</f>
        <v>3941.2158723958337</v>
      </c>
      <c r="AP56" s="81">
        <f>Payroll!AT8</f>
        <v>3941.2158723958337</v>
      </c>
      <c r="AQ56" s="81">
        <f>Payroll!AU8</f>
        <v>3941.2158723958337</v>
      </c>
      <c r="AR56" s="81">
        <f>Payroll!AV8</f>
        <v>3941.2158723958337</v>
      </c>
      <c r="AS56" s="81">
        <f>Payroll!AW8</f>
        <v>3941.2158723958337</v>
      </c>
      <c r="AT56" s="81">
        <f>Payroll!AX8</f>
        <v>3941.2158723958337</v>
      </c>
      <c r="AU56" s="81">
        <f>Payroll!AY8</f>
        <v>3941.2158723958337</v>
      </c>
      <c r="AV56" s="81">
        <f>Payroll!AZ8</f>
        <v>3941.2158723958337</v>
      </c>
      <c r="AW56" s="81">
        <f>Payroll!BA8</f>
        <v>3941.2158723958337</v>
      </c>
    </row>
    <row r="57" spans="1:49" s="8" customFormat="1" outlineLevel="1" x14ac:dyDescent="0.3">
      <c r="A57" s="18" t="str">
        <f>Payroll!A9</f>
        <v>salary Engenieur électronique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>
        <f>Payroll!X9</f>
        <v>5200.963541666667</v>
      </c>
      <c r="U57" s="81">
        <f>Payroll!Y9</f>
        <v>5200.963541666667</v>
      </c>
      <c r="V57" s="81">
        <f>Payroll!Z9</f>
        <v>5200.963541666667</v>
      </c>
      <c r="W57" s="81">
        <f>Payroll!AA9</f>
        <v>5200.963541666667</v>
      </c>
      <c r="X57" s="81">
        <f>Payroll!AB9</f>
        <v>5200.963541666667</v>
      </c>
      <c r="Y57" s="81">
        <f>Payroll!AC9</f>
        <v>5200.963541666667</v>
      </c>
      <c r="Z57" s="81">
        <f>Payroll!AD9</f>
        <v>5356.9924479166675</v>
      </c>
      <c r="AA57" s="81">
        <f>Payroll!AE9</f>
        <v>3826.4231770833335</v>
      </c>
      <c r="AB57" s="81">
        <f>Payroll!AF9</f>
        <v>3826.4231770833335</v>
      </c>
      <c r="AC57" s="81">
        <f>Payroll!AG9</f>
        <v>3826.4231770833335</v>
      </c>
      <c r="AD57" s="81">
        <f>Payroll!AH9</f>
        <v>3826.4231770833335</v>
      </c>
      <c r="AE57" s="81">
        <f>Payroll!AI9</f>
        <v>3826.4231770833335</v>
      </c>
      <c r="AF57" s="81">
        <f>Payroll!AJ9</f>
        <v>3826.4231770833335</v>
      </c>
      <c r="AG57" s="81">
        <f>Payroll!AK9</f>
        <v>3826.4231770833335</v>
      </c>
      <c r="AH57" s="81">
        <f>Payroll!AL9</f>
        <v>3826.4231770833335</v>
      </c>
      <c r="AI57" s="81">
        <f>Payroll!AM9</f>
        <v>3826.4231770833335</v>
      </c>
      <c r="AJ57" s="81">
        <f>Payroll!AN9</f>
        <v>3826.4231770833335</v>
      </c>
      <c r="AK57" s="81">
        <f>Payroll!AO9</f>
        <v>3826.4231770833335</v>
      </c>
      <c r="AL57" s="81">
        <f>Payroll!AP9</f>
        <v>3941.2158723958337</v>
      </c>
      <c r="AM57" s="81">
        <f>Payroll!AQ9</f>
        <v>3941.2158723958337</v>
      </c>
      <c r="AN57" s="81">
        <f>Payroll!AR9</f>
        <v>3941.2158723958337</v>
      </c>
      <c r="AO57" s="81">
        <f>Payroll!AS9</f>
        <v>3941.2158723958337</v>
      </c>
      <c r="AP57" s="81">
        <f>Payroll!AT9</f>
        <v>3941.2158723958337</v>
      </c>
      <c r="AQ57" s="81">
        <f>Payroll!AU9</f>
        <v>3941.2158723958337</v>
      </c>
      <c r="AR57" s="81">
        <f>Payroll!AV9</f>
        <v>3941.2158723958337</v>
      </c>
      <c r="AS57" s="81">
        <f>Payroll!AW9</f>
        <v>3941.2158723958337</v>
      </c>
      <c r="AT57" s="81">
        <f>Payroll!AX9</f>
        <v>3941.2158723958337</v>
      </c>
      <c r="AU57" s="81">
        <f>Payroll!AY9</f>
        <v>3941.2158723958337</v>
      </c>
      <c r="AV57" s="81">
        <f>Payroll!AZ9</f>
        <v>3941.2158723958337</v>
      </c>
      <c r="AW57" s="81">
        <f>Payroll!BA9</f>
        <v>3941.2158723958337</v>
      </c>
    </row>
    <row r="58" spans="1:49" outlineLevel="1" x14ac:dyDescent="0.3">
      <c r="A58" s="18" t="str">
        <f>Payroll!A10</f>
        <v>salary Commercial FR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>
        <f>Payroll!X10</f>
        <v>5200.963541666667</v>
      </c>
      <c r="U58" s="81">
        <f>Payroll!Y10</f>
        <v>5200.963541666667</v>
      </c>
      <c r="V58" s="81">
        <f>Payroll!Z10</f>
        <v>5200.963541666667</v>
      </c>
      <c r="W58" s="81">
        <f>Payroll!AA10</f>
        <v>5200.963541666667</v>
      </c>
      <c r="X58" s="81">
        <f>Payroll!AB10</f>
        <v>5200.963541666667</v>
      </c>
      <c r="Y58" s="81">
        <f>Payroll!AC10</f>
        <v>5200.963541666667</v>
      </c>
      <c r="Z58" s="81">
        <f>Payroll!AD10</f>
        <v>5356.9924479166675</v>
      </c>
      <c r="AA58" s="81">
        <f>Payroll!AE10</f>
        <v>3826.4231770833335</v>
      </c>
      <c r="AB58" s="81">
        <f>Payroll!AF10</f>
        <v>3826.4231770833335</v>
      </c>
      <c r="AC58" s="81">
        <f>Payroll!AG10</f>
        <v>3826.4231770833335</v>
      </c>
      <c r="AD58" s="81">
        <f>Payroll!AH10</f>
        <v>3826.4231770833335</v>
      </c>
      <c r="AE58" s="81">
        <f>Payroll!AI10</f>
        <v>3826.4231770833335</v>
      </c>
      <c r="AF58" s="81">
        <f>Payroll!AJ10</f>
        <v>3826.4231770833335</v>
      </c>
      <c r="AG58" s="81">
        <f>Payroll!AK10</f>
        <v>3826.4231770833335</v>
      </c>
      <c r="AH58" s="81">
        <f>Payroll!AL10</f>
        <v>3826.4231770833335</v>
      </c>
      <c r="AI58" s="81">
        <f>Payroll!AM10</f>
        <v>3826.4231770833335</v>
      </c>
      <c r="AJ58" s="81">
        <f>Payroll!AN10</f>
        <v>3826.4231770833335</v>
      </c>
      <c r="AK58" s="81">
        <f>Payroll!AO10</f>
        <v>3826.4231770833335</v>
      </c>
      <c r="AL58" s="81">
        <f>Payroll!AP10</f>
        <v>3941.2158723958337</v>
      </c>
      <c r="AM58" s="81">
        <f>Payroll!AQ10</f>
        <v>3941.2158723958337</v>
      </c>
      <c r="AN58" s="81">
        <f>Payroll!AR10</f>
        <v>3941.2158723958337</v>
      </c>
      <c r="AO58" s="81">
        <f>Payroll!AS10</f>
        <v>3941.2158723958337</v>
      </c>
      <c r="AP58" s="81">
        <f>Payroll!AT10</f>
        <v>3941.2158723958337</v>
      </c>
      <c r="AQ58" s="81">
        <f>Payroll!AU10</f>
        <v>3941.2158723958337</v>
      </c>
      <c r="AR58" s="81">
        <f>Payroll!AV10</f>
        <v>3941.2158723958337</v>
      </c>
      <c r="AS58" s="81">
        <f>Payroll!AW10</f>
        <v>3941.2158723958337</v>
      </c>
      <c r="AT58" s="81">
        <f>Payroll!AX10</f>
        <v>3941.2158723958337</v>
      </c>
      <c r="AU58" s="81">
        <f>Payroll!AY10</f>
        <v>3941.2158723958337</v>
      </c>
      <c r="AV58" s="81">
        <f>Payroll!AZ10</f>
        <v>3941.2158723958337</v>
      </c>
      <c r="AW58" s="81">
        <f>Payroll!BA10</f>
        <v>3941.2158723958337</v>
      </c>
    </row>
    <row r="59" spans="1:49" outlineLevel="1" x14ac:dyDescent="0.3">
      <c r="A59" s="18" t="str">
        <f>Payroll!A11</f>
        <v>salary Commercial NL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>
        <f>Payroll!X11</f>
        <v>5200.963541666667</v>
      </c>
      <c r="U59" s="81">
        <f>Payroll!Y11</f>
        <v>5200.963541666667</v>
      </c>
      <c r="V59" s="81">
        <f>Payroll!Z11</f>
        <v>5200.963541666667</v>
      </c>
      <c r="W59" s="81">
        <f>Payroll!AA11</f>
        <v>5200.963541666667</v>
      </c>
      <c r="X59" s="81">
        <f>Payroll!AB11</f>
        <v>5200.963541666667</v>
      </c>
      <c r="Y59" s="81">
        <f>Payroll!AC11</f>
        <v>5200.963541666667</v>
      </c>
      <c r="Z59" s="81">
        <f>Payroll!AD11</f>
        <v>5356.9924479166675</v>
      </c>
      <c r="AA59" s="81">
        <f>Payroll!AE11</f>
        <v>3826.4231770833335</v>
      </c>
      <c r="AB59" s="81">
        <f>Payroll!AF11</f>
        <v>3826.4231770833335</v>
      </c>
      <c r="AC59" s="81">
        <f>Payroll!AG11</f>
        <v>3826.4231770833335</v>
      </c>
      <c r="AD59" s="81">
        <f>Payroll!AH11</f>
        <v>3826.4231770833335</v>
      </c>
      <c r="AE59" s="81">
        <f>Payroll!AI11</f>
        <v>3826.4231770833335</v>
      </c>
      <c r="AF59" s="81">
        <f>Payroll!AJ11</f>
        <v>3826.4231770833335</v>
      </c>
      <c r="AG59" s="81">
        <f>Payroll!AK11</f>
        <v>3826.4231770833335</v>
      </c>
      <c r="AH59" s="81">
        <f>Payroll!AL11</f>
        <v>3826.4231770833335</v>
      </c>
      <c r="AI59" s="81">
        <f>Payroll!AM11</f>
        <v>3826.4231770833335</v>
      </c>
      <c r="AJ59" s="81">
        <f>Payroll!AN11</f>
        <v>3826.4231770833335</v>
      </c>
      <c r="AK59" s="81">
        <f>Payroll!AO11</f>
        <v>3826.4231770833335</v>
      </c>
      <c r="AL59" s="81">
        <f>Payroll!AP11</f>
        <v>3941.2158723958337</v>
      </c>
      <c r="AM59" s="81">
        <f>Payroll!AQ11</f>
        <v>3941.2158723958337</v>
      </c>
      <c r="AN59" s="81">
        <f>Payroll!AR11</f>
        <v>3941.2158723958337</v>
      </c>
      <c r="AO59" s="81">
        <f>Payroll!AS11</f>
        <v>3941.2158723958337</v>
      </c>
      <c r="AP59" s="81">
        <f>Payroll!AT11</f>
        <v>3941.2158723958337</v>
      </c>
      <c r="AQ59" s="81">
        <f>Payroll!AU11</f>
        <v>3941.2158723958337</v>
      </c>
      <c r="AR59" s="81">
        <f>Payroll!AV11</f>
        <v>3941.2158723958337</v>
      </c>
      <c r="AS59" s="81">
        <f>Payroll!AW11</f>
        <v>3941.2158723958337</v>
      </c>
      <c r="AT59" s="81">
        <f>Payroll!AX11</f>
        <v>3941.2158723958337</v>
      </c>
      <c r="AU59" s="81">
        <f>Payroll!AY11</f>
        <v>3941.2158723958337</v>
      </c>
      <c r="AV59" s="81">
        <f>Payroll!AZ11</f>
        <v>3941.2158723958337</v>
      </c>
      <c r="AW59" s="81">
        <f>Payroll!BA11</f>
        <v>3941.2158723958337</v>
      </c>
    </row>
    <row r="60" spans="1:49" outlineLevel="1" x14ac:dyDescent="0.3">
      <c r="A60" s="18" t="str">
        <f>Payroll!A12</f>
        <v>2 salaries Commercial FR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>
        <f>Payroll!Z12</f>
        <v>10401.927083333334</v>
      </c>
      <c r="W60" s="81">
        <f>Payroll!AA12</f>
        <v>10401.927083333334</v>
      </c>
      <c r="X60" s="81">
        <f>Payroll!AB12</f>
        <v>10401.927083333334</v>
      </c>
      <c r="Y60" s="81">
        <f>Payroll!AC12</f>
        <v>10401.927083333334</v>
      </c>
      <c r="Z60" s="81">
        <f>Payroll!AD12</f>
        <v>10401.927083333334</v>
      </c>
      <c r="AA60" s="81">
        <f>Payroll!AE12</f>
        <v>10401.927083333334</v>
      </c>
      <c r="AB60" s="81">
        <f>Payroll!AF12</f>
        <v>10401.927083333334</v>
      </c>
      <c r="AC60" s="81">
        <f>Payroll!AG12</f>
        <v>10401.927083333334</v>
      </c>
      <c r="AD60" s="81">
        <f>Payroll!AH12</f>
        <v>10401.927083333334</v>
      </c>
      <c r="AE60" s="81">
        <f>Payroll!AI12</f>
        <v>10401.927083333334</v>
      </c>
      <c r="AF60" s="81">
        <f>Payroll!AJ12</f>
        <v>10401.927083333334</v>
      </c>
      <c r="AG60" s="81">
        <f>Payroll!AK12</f>
        <v>10401.927083333334</v>
      </c>
      <c r="AH60" s="81">
        <f>Payroll!AL12</f>
        <v>10401.927083333334</v>
      </c>
      <c r="AI60" s="81">
        <f>Payroll!AM12</f>
        <v>10401.927083333334</v>
      </c>
      <c r="AJ60" s="81">
        <f>Payroll!AN12</f>
        <v>10401.927083333334</v>
      </c>
      <c r="AK60" s="81">
        <f>Payroll!AO12</f>
        <v>10401.927083333334</v>
      </c>
      <c r="AL60" s="81">
        <f>Payroll!AP12</f>
        <v>10713.984895833335</v>
      </c>
      <c r="AM60" s="81">
        <f>Payroll!AQ12</f>
        <v>10713.984895833335</v>
      </c>
      <c r="AN60" s="81">
        <f>Payroll!AR12</f>
        <v>10713.984895833335</v>
      </c>
      <c r="AO60" s="81">
        <f>Payroll!AS12</f>
        <v>10713.984895833335</v>
      </c>
      <c r="AP60" s="81">
        <f>Payroll!AT12</f>
        <v>10713.984895833335</v>
      </c>
      <c r="AQ60" s="81">
        <f>Payroll!AU12</f>
        <v>10713.984895833335</v>
      </c>
      <c r="AR60" s="81">
        <f>Payroll!AV12</f>
        <v>10713.984895833335</v>
      </c>
      <c r="AS60" s="81">
        <f>Payroll!AW12</f>
        <v>10713.984895833335</v>
      </c>
      <c r="AT60" s="81">
        <f>Payroll!AX12</f>
        <v>10713.984895833335</v>
      </c>
      <c r="AU60" s="81">
        <f>Payroll!AY12</f>
        <v>10713.984895833335</v>
      </c>
      <c r="AV60" s="81">
        <f>Payroll!AZ12</f>
        <v>10713.984895833335</v>
      </c>
      <c r="AW60" s="81">
        <f>Payroll!BA12</f>
        <v>10713.984895833335</v>
      </c>
    </row>
    <row r="61" spans="1:49" outlineLevel="1" x14ac:dyDescent="0.3">
      <c r="A61" s="18" t="str">
        <f>Payroll!A13</f>
        <v>2 salaries Commercial NL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>
        <f>Payroll!Z13</f>
        <v>10401.927083333334</v>
      </c>
      <c r="W61" s="81">
        <f>Payroll!AA13</f>
        <v>10401.927083333334</v>
      </c>
      <c r="X61" s="81">
        <f>Payroll!AB13</f>
        <v>10401.927083333334</v>
      </c>
      <c r="Y61" s="81">
        <f>Payroll!AC13</f>
        <v>10401.927083333334</v>
      </c>
      <c r="Z61" s="81">
        <f>Payroll!AD13</f>
        <v>10401.927083333334</v>
      </c>
      <c r="AA61" s="81">
        <f>Payroll!AE13</f>
        <v>10401.927083333334</v>
      </c>
      <c r="AB61" s="81">
        <f>Payroll!AF13</f>
        <v>10401.927083333334</v>
      </c>
      <c r="AC61" s="81">
        <f>Payroll!AG13</f>
        <v>10401.927083333334</v>
      </c>
      <c r="AD61" s="81">
        <f>Payroll!AH13</f>
        <v>10401.927083333334</v>
      </c>
      <c r="AE61" s="81">
        <f>Payroll!AI13</f>
        <v>10401.927083333334</v>
      </c>
      <c r="AF61" s="81">
        <f>Payroll!AJ13</f>
        <v>10401.927083333334</v>
      </c>
      <c r="AG61" s="81">
        <f>Payroll!AK13</f>
        <v>10401.927083333334</v>
      </c>
      <c r="AH61" s="81">
        <f>Payroll!AL13</f>
        <v>10401.927083333334</v>
      </c>
      <c r="AI61" s="81">
        <f>Payroll!AM13</f>
        <v>10401.927083333334</v>
      </c>
      <c r="AJ61" s="81">
        <f>Payroll!AN13</f>
        <v>10401.927083333334</v>
      </c>
      <c r="AK61" s="81">
        <f>Payroll!AO13</f>
        <v>10401.927083333334</v>
      </c>
      <c r="AL61" s="81">
        <f>Payroll!AP13</f>
        <v>10713.984895833335</v>
      </c>
      <c r="AM61" s="81">
        <f>Payroll!AQ13</f>
        <v>10713.984895833335</v>
      </c>
      <c r="AN61" s="81">
        <f>Payroll!AR13</f>
        <v>10713.984895833335</v>
      </c>
      <c r="AO61" s="81">
        <f>Payroll!AS13</f>
        <v>10713.984895833335</v>
      </c>
      <c r="AP61" s="81">
        <f>Payroll!AT13</f>
        <v>10713.984895833335</v>
      </c>
      <c r="AQ61" s="81">
        <f>Payroll!AU13</f>
        <v>10713.984895833335</v>
      </c>
      <c r="AR61" s="81">
        <f>Payroll!AV13</f>
        <v>10713.984895833335</v>
      </c>
      <c r="AS61" s="81">
        <f>Payroll!AW13</f>
        <v>10713.984895833335</v>
      </c>
      <c r="AT61" s="81">
        <f>Payroll!AX13</f>
        <v>10713.984895833335</v>
      </c>
      <c r="AU61" s="81">
        <f>Payroll!AY13</f>
        <v>10713.984895833335</v>
      </c>
      <c r="AV61" s="81">
        <f>Payroll!AZ13</f>
        <v>10713.984895833335</v>
      </c>
      <c r="AW61" s="81">
        <f>Payroll!BA13</f>
        <v>10713.984895833335</v>
      </c>
    </row>
    <row r="62" spans="1:49" outlineLevel="1" x14ac:dyDescent="0.3">
      <c r="A62" s="18" t="str">
        <f>Payroll!A14</f>
        <v>salary Communauty Manager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>
        <f>Payroll!X14</f>
        <v>2500</v>
      </c>
      <c r="U62" s="81">
        <f>Payroll!Y14</f>
        <v>2500</v>
      </c>
      <c r="V62" s="81">
        <f>Payroll!Z14</f>
        <v>2500</v>
      </c>
      <c r="W62" s="81">
        <f>Payroll!AA14</f>
        <v>2500</v>
      </c>
      <c r="X62" s="81">
        <f>Payroll!AB14</f>
        <v>2500</v>
      </c>
      <c r="Y62" s="81">
        <f>Payroll!AC14</f>
        <v>2500</v>
      </c>
      <c r="Z62" s="81">
        <f>Payroll!AD14</f>
        <v>2575</v>
      </c>
      <c r="AA62" s="81">
        <f>Payroll!AE14</f>
        <v>2575</v>
      </c>
      <c r="AB62" s="81">
        <f>Payroll!AF14</f>
        <v>2575</v>
      </c>
      <c r="AC62" s="81">
        <f>Payroll!AG14</f>
        <v>2575</v>
      </c>
      <c r="AD62" s="81">
        <f>Payroll!AH14</f>
        <v>2575</v>
      </c>
      <c r="AE62" s="81">
        <f>Payroll!AI14</f>
        <v>2575</v>
      </c>
      <c r="AF62" s="81">
        <f>Payroll!AJ14</f>
        <v>2575</v>
      </c>
      <c r="AG62" s="81">
        <f>Payroll!AK14</f>
        <v>2575</v>
      </c>
      <c r="AH62" s="81">
        <f>Payroll!AL14</f>
        <v>2575</v>
      </c>
      <c r="AI62" s="81">
        <f>Payroll!AM14</f>
        <v>2575</v>
      </c>
      <c r="AJ62" s="81">
        <f>Payroll!AN14</f>
        <v>2575</v>
      </c>
      <c r="AK62" s="81">
        <f>Payroll!AO14</f>
        <v>2575</v>
      </c>
      <c r="AL62" s="81">
        <f>Payroll!AP14</f>
        <v>2652.25</v>
      </c>
      <c r="AM62" s="81">
        <f>Payroll!AQ14</f>
        <v>2652.25</v>
      </c>
      <c r="AN62" s="81">
        <f>Payroll!AR14</f>
        <v>2652.25</v>
      </c>
      <c r="AO62" s="81">
        <f>Payroll!AS14</f>
        <v>2652.25</v>
      </c>
      <c r="AP62" s="81">
        <f>Payroll!AT14</f>
        <v>2652.25</v>
      </c>
      <c r="AQ62" s="81">
        <f>Payroll!AU14</f>
        <v>2652.25</v>
      </c>
      <c r="AR62" s="81">
        <f>Payroll!AV14</f>
        <v>2652.25</v>
      </c>
      <c r="AS62" s="81">
        <f>Payroll!AW14</f>
        <v>2652.25</v>
      </c>
      <c r="AT62" s="81">
        <f>Payroll!AX14</f>
        <v>2652.25</v>
      </c>
      <c r="AU62" s="81">
        <f>Payroll!AY14</f>
        <v>2652.25</v>
      </c>
      <c r="AV62" s="81">
        <f>Payroll!AZ14</f>
        <v>2652.25</v>
      </c>
      <c r="AW62" s="81">
        <f>Payroll!BA14</f>
        <v>2652.25</v>
      </c>
    </row>
    <row r="63" spans="1:49" outlineLevel="1" x14ac:dyDescent="0.3">
      <c r="A63" s="18" t="str">
        <f>Payroll!A15</f>
        <v>salary Communauty Manager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>
        <f>Payroll!Z15</f>
        <v>2500</v>
      </c>
      <c r="W63" s="81">
        <f>Payroll!AA15</f>
        <v>2500</v>
      </c>
      <c r="X63" s="81">
        <f>Payroll!AB15</f>
        <v>2500</v>
      </c>
      <c r="Y63" s="81">
        <f>Payroll!AC15</f>
        <v>2500</v>
      </c>
      <c r="Z63" s="81">
        <f>Payroll!AD15</f>
        <v>2575</v>
      </c>
      <c r="AA63" s="81">
        <f>Payroll!AE15</f>
        <v>2575</v>
      </c>
      <c r="AB63" s="81">
        <f>Payroll!AF15</f>
        <v>2575</v>
      </c>
      <c r="AC63" s="81">
        <f>Payroll!AG15</f>
        <v>2575</v>
      </c>
      <c r="AD63" s="81">
        <f>Payroll!AH15</f>
        <v>2575</v>
      </c>
      <c r="AE63" s="81">
        <f>Payroll!AI15</f>
        <v>2575</v>
      </c>
      <c r="AF63" s="81">
        <f>Payroll!AJ15</f>
        <v>2575</v>
      </c>
      <c r="AG63" s="81">
        <f>Payroll!AK15</f>
        <v>2575</v>
      </c>
      <c r="AH63" s="81">
        <f>Payroll!AL15</f>
        <v>2575</v>
      </c>
      <c r="AI63" s="81">
        <f>Payroll!AM15</f>
        <v>2575</v>
      </c>
      <c r="AJ63" s="81">
        <f>Payroll!AN15</f>
        <v>2575</v>
      </c>
      <c r="AK63" s="81">
        <f>Payroll!AO15</f>
        <v>2575</v>
      </c>
      <c r="AL63" s="81">
        <f>Payroll!AP15</f>
        <v>2652.25</v>
      </c>
      <c r="AM63" s="81">
        <f>Payroll!AQ15</f>
        <v>2652.25</v>
      </c>
      <c r="AN63" s="81">
        <f>Payroll!AR15</f>
        <v>2652.25</v>
      </c>
      <c r="AO63" s="81">
        <f>Payroll!AS15</f>
        <v>2652.25</v>
      </c>
      <c r="AP63" s="81">
        <f>Payroll!AT15</f>
        <v>2652.25</v>
      </c>
      <c r="AQ63" s="81">
        <f>Payroll!AU15</f>
        <v>2652.25</v>
      </c>
      <c r="AR63" s="81">
        <f>Payroll!AV15</f>
        <v>2652.25</v>
      </c>
      <c r="AS63" s="81">
        <f>Payroll!AW15</f>
        <v>2652.25</v>
      </c>
      <c r="AT63" s="81">
        <f>Payroll!AX15</f>
        <v>2652.25</v>
      </c>
      <c r="AU63" s="81">
        <f>Payroll!AY15</f>
        <v>2652.25</v>
      </c>
      <c r="AV63" s="81">
        <f>Payroll!AZ15</f>
        <v>2652.25</v>
      </c>
      <c r="AW63" s="81">
        <f>Payroll!BA15</f>
        <v>2652.25</v>
      </c>
    </row>
    <row r="64" spans="1:49" outlineLevel="1" x14ac:dyDescent="0.3">
      <c r="A64" s="18" t="str">
        <f>Payroll!A16</f>
        <v>salary Office Manager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>
        <f>Payroll!X16</f>
        <v>2500</v>
      </c>
      <c r="U64" s="81">
        <f>Payroll!Y16</f>
        <v>2500</v>
      </c>
      <c r="V64" s="81">
        <f>Payroll!Z16</f>
        <v>2500</v>
      </c>
      <c r="W64" s="81">
        <f>Payroll!AA16</f>
        <v>2500</v>
      </c>
      <c r="X64" s="81">
        <f>Payroll!AB16</f>
        <v>2500</v>
      </c>
      <c r="Y64" s="81">
        <f>Payroll!AC16</f>
        <v>2500</v>
      </c>
      <c r="Z64" s="81">
        <f>Payroll!AD16</f>
        <v>2575</v>
      </c>
      <c r="AA64" s="81">
        <f>Payroll!AE16</f>
        <v>2575</v>
      </c>
      <c r="AB64" s="81">
        <f>Payroll!AF16</f>
        <v>2575</v>
      </c>
      <c r="AC64" s="81">
        <f>Payroll!AG16</f>
        <v>2575</v>
      </c>
      <c r="AD64" s="81">
        <f>Payroll!AH16</f>
        <v>2575</v>
      </c>
      <c r="AE64" s="81">
        <f>Payroll!AI16</f>
        <v>2575</v>
      </c>
      <c r="AF64" s="81">
        <f>Payroll!AJ16</f>
        <v>2575</v>
      </c>
      <c r="AG64" s="81">
        <f>Payroll!AK16</f>
        <v>2575</v>
      </c>
      <c r="AH64" s="81">
        <f>Payroll!AL16</f>
        <v>2575</v>
      </c>
      <c r="AI64" s="81">
        <f>Payroll!AM16</f>
        <v>2575</v>
      </c>
      <c r="AJ64" s="81">
        <f>Payroll!AN16</f>
        <v>2575</v>
      </c>
      <c r="AK64" s="81">
        <f>Payroll!AO16</f>
        <v>2575</v>
      </c>
      <c r="AL64" s="81">
        <f>Payroll!AP16</f>
        <v>2652.25</v>
      </c>
      <c r="AM64" s="81">
        <f>Payroll!AQ16</f>
        <v>2652.25</v>
      </c>
      <c r="AN64" s="81">
        <f>Payroll!AR16</f>
        <v>2652.25</v>
      </c>
      <c r="AO64" s="81">
        <f>Payroll!AS16</f>
        <v>2652.25</v>
      </c>
      <c r="AP64" s="81">
        <f>Payroll!AT16</f>
        <v>2652.25</v>
      </c>
      <c r="AQ64" s="81">
        <f>Payroll!AU16</f>
        <v>2652.25</v>
      </c>
      <c r="AR64" s="81">
        <f>Payroll!AV16</f>
        <v>2652.25</v>
      </c>
      <c r="AS64" s="81">
        <f>Payroll!AW16</f>
        <v>2652.25</v>
      </c>
      <c r="AT64" s="81">
        <f>Payroll!AX16</f>
        <v>2652.25</v>
      </c>
      <c r="AU64" s="81">
        <f>Payroll!AY16</f>
        <v>2652.25</v>
      </c>
      <c r="AV64" s="81">
        <f>Payroll!AZ16</f>
        <v>2652.25</v>
      </c>
      <c r="AW64" s="81">
        <f>Payroll!BA16</f>
        <v>2652.25</v>
      </c>
    </row>
    <row r="65" spans="1:49" x14ac:dyDescent="0.3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</row>
    <row r="66" spans="1:49" x14ac:dyDescent="0.3">
      <c r="A66" s="90" t="s">
        <v>75</v>
      </c>
      <c r="B66" s="91">
        <f t="shared" ref="B66:AW66" si="54">SUM(B67:B76)</f>
        <v>0</v>
      </c>
      <c r="C66" s="91">
        <f t="shared" si="54"/>
        <v>2500</v>
      </c>
      <c r="D66" s="91">
        <f t="shared" si="54"/>
        <v>500</v>
      </c>
      <c r="E66" s="91">
        <f t="shared" si="54"/>
        <v>3000</v>
      </c>
      <c r="F66" s="91">
        <f t="shared" si="54"/>
        <v>500</v>
      </c>
      <c r="G66" s="91">
        <f t="shared" si="54"/>
        <v>500</v>
      </c>
      <c r="H66" s="91">
        <f t="shared" si="54"/>
        <v>500</v>
      </c>
      <c r="I66" s="91">
        <f t="shared" si="54"/>
        <v>500</v>
      </c>
      <c r="J66" s="91">
        <f t="shared" si="54"/>
        <v>500</v>
      </c>
      <c r="K66" s="91">
        <f t="shared" si="54"/>
        <v>500</v>
      </c>
      <c r="L66" s="91">
        <f t="shared" si="54"/>
        <v>3500</v>
      </c>
      <c r="M66" s="91">
        <f t="shared" si="54"/>
        <v>500</v>
      </c>
      <c r="N66" s="91">
        <f t="shared" si="54"/>
        <v>22000</v>
      </c>
      <c r="O66" s="91">
        <f t="shared" si="54"/>
        <v>3000</v>
      </c>
      <c r="P66" s="91">
        <f t="shared" si="54"/>
        <v>3500</v>
      </c>
      <c r="Q66" s="91">
        <f t="shared" si="54"/>
        <v>11500</v>
      </c>
      <c r="R66" s="91">
        <f t="shared" si="54"/>
        <v>3500</v>
      </c>
      <c r="S66" s="91">
        <f t="shared" si="54"/>
        <v>3500</v>
      </c>
      <c r="T66" s="91">
        <f t="shared" si="54"/>
        <v>3500</v>
      </c>
      <c r="U66" s="91">
        <f t="shared" si="54"/>
        <v>3500</v>
      </c>
      <c r="V66" s="91">
        <f t="shared" si="54"/>
        <v>33500</v>
      </c>
      <c r="W66" s="91">
        <f t="shared" si="54"/>
        <v>3500</v>
      </c>
      <c r="X66" s="91">
        <f t="shared" si="54"/>
        <v>3500</v>
      </c>
      <c r="Y66" s="91">
        <f t="shared" si="54"/>
        <v>3500</v>
      </c>
      <c r="Z66" s="91">
        <f t="shared" si="54"/>
        <v>54000</v>
      </c>
      <c r="AA66" s="91">
        <f t="shared" si="54"/>
        <v>4000</v>
      </c>
      <c r="AB66" s="91">
        <f t="shared" si="54"/>
        <v>4000</v>
      </c>
      <c r="AC66" s="91">
        <f t="shared" si="54"/>
        <v>4000</v>
      </c>
      <c r="AD66" s="91">
        <f t="shared" si="54"/>
        <v>4000</v>
      </c>
      <c r="AE66" s="91">
        <f t="shared" si="54"/>
        <v>4000</v>
      </c>
      <c r="AF66" s="91">
        <f t="shared" si="54"/>
        <v>4000</v>
      </c>
      <c r="AG66" s="91">
        <f t="shared" si="54"/>
        <v>4000</v>
      </c>
      <c r="AH66" s="91">
        <f t="shared" si="54"/>
        <v>54000</v>
      </c>
      <c r="AI66" s="91">
        <f t="shared" si="54"/>
        <v>4000</v>
      </c>
      <c r="AJ66" s="91">
        <f t="shared" si="54"/>
        <v>4000</v>
      </c>
      <c r="AK66" s="91">
        <f t="shared" si="54"/>
        <v>4000</v>
      </c>
      <c r="AL66" s="91">
        <f t="shared" si="54"/>
        <v>84000</v>
      </c>
      <c r="AM66" s="91">
        <f t="shared" si="54"/>
        <v>4000</v>
      </c>
      <c r="AN66" s="91">
        <f t="shared" si="54"/>
        <v>4000</v>
      </c>
      <c r="AO66" s="91">
        <f t="shared" si="54"/>
        <v>4000</v>
      </c>
      <c r="AP66" s="91">
        <f t="shared" si="54"/>
        <v>4000</v>
      </c>
      <c r="AQ66" s="91">
        <f t="shared" si="54"/>
        <v>4000</v>
      </c>
      <c r="AR66" s="91">
        <f t="shared" si="54"/>
        <v>4000</v>
      </c>
      <c r="AS66" s="91">
        <f t="shared" si="54"/>
        <v>84000</v>
      </c>
      <c r="AT66" s="91">
        <f t="shared" si="54"/>
        <v>4000</v>
      </c>
      <c r="AU66" s="91">
        <f t="shared" si="54"/>
        <v>4000</v>
      </c>
      <c r="AV66" s="91">
        <f t="shared" si="54"/>
        <v>4000</v>
      </c>
      <c r="AW66" s="91">
        <f t="shared" si="54"/>
        <v>4000</v>
      </c>
    </row>
    <row r="67" spans="1:49" x14ac:dyDescent="0.3">
      <c r="A67" s="1" t="s">
        <v>127</v>
      </c>
      <c r="B67" s="6"/>
      <c r="C67" s="6">
        <v>2500</v>
      </c>
      <c r="D67" s="6">
        <v>500</v>
      </c>
      <c r="E67" s="6">
        <v>500</v>
      </c>
      <c r="F67" s="6">
        <v>500</v>
      </c>
      <c r="G67" s="6">
        <v>500</v>
      </c>
      <c r="H67" s="6">
        <v>500</v>
      </c>
      <c r="I67" s="6">
        <v>500</v>
      </c>
      <c r="J67" s="6">
        <v>500</v>
      </c>
      <c r="K67" s="85">
        <v>500</v>
      </c>
      <c r="L67" s="85">
        <v>500</v>
      </c>
      <c r="M67" s="85">
        <v>500</v>
      </c>
      <c r="N67" s="85">
        <v>1000</v>
      </c>
      <c r="O67" s="85">
        <v>1000</v>
      </c>
      <c r="P67" s="85">
        <v>1500</v>
      </c>
      <c r="Q67" s="85">
        <v>1500</v>
      </c>
      <c r="R67" s="85">
        <v>1500</v>
      </c>
      <c r="S67" s="85">
        <v>1500</v>
      </c>
      <c r="T67" s="6">
        <v>1500</v>
      </c>
      <c r="U67" s="6">
        <v>1500</v>
      </c>
      <c r="V67" s="6">
        <v>1500</v>
      </c>
      <c r="W67" s="6">
        <v>1500</v>
      </c>
      <c r="X67" s="6">
        <v>1500</v>
      </c>
      <c r="Y67" s="6">
        <v>1500</v>
      </c>
      <c r="Z67" s="6">
        <v>2000</v>
      </c>
      <c r="AA67" s="6">
        <v>2000</v>
      </c>
      <c r="AB67" s="6">
        <v>2000</v>
      </c>
      <c r="AC67" s="6">
        <v>2000</v>
      </c>
      <c r="AD67" s="6">
        <v>2000</v>
      </c>
      <c r="AE67" s="6">
        <v>2000</v>
      </c>
      <c r="AF67" s="6">
        <v>2000</v>
      </c>
      <c r="AG67" s="6">
        <v>2000</v>
      </c>
      <c r="AH67" s="6">
        <v>2000</v>
      </c>
      <c r="AI67" s="6">
        <v>2000</v>
      </c>
      <c r="AJ67" s="6">
        <v>2000</v>
      </c>
      <c r="AK67" s="6">
        <v>2000</v>
      </c>
      <c r="AL67" s="6">
        <v>2000</v>
      </c>
      <c r="AM67" s="6">
        <v>2000</v>
      </c>
      <c r="AN67" s="6">
        <v>2000</v>
      </c>
      <c r="AO67" s="6">
        <v>2000</v>
      </c>
      <c r="AP67" s="6">
        <v>2000</v>
      </c>
      <c r="AQ67" s="6">
        <v>2000</v>
      </c>
      <c r="AR67" s="6">
        <v>2000</v>
      </c>
      <c r="AS67" s="6">
        <v>2000</v>
      </c>
      <c r="AT67" s="6">
        <v>2000</v>
      </c>
      <c r="AU67" s="6">
        <v>2000</v>
      </c>
      <c r="AV67" s="6">
        <v>2000</v>
      </c>
      <c r="AW67" s="6">
        <v>2000</v>
      </c>
    </row>
    <row r="68" spans="1:49" x14ac:dyDescent="0.3">
      <c r="A68" s="1" t="s">
        <v>128</v>
      </c>
      <c r="B68" s="6"/>
      <c r="C68" s="6"/>
      <c r="D68" s="6"/>
      <c r="E68" s="6"/>
      <c r="F68" s="6"/>
      <c r="G68" s="6"/>
      <c r="H68" s="6"/>
      <c r="I68" s="6"/>
      <c r="J68" s="6"/>
      <c r="K68" s="85">
        <v>0</v>
      </c>
      <c r="L68" s="85">
        <v>3000</v>
      </c>
      <c r="M68" s="85"/>
      <c r="N68" s="85"/>
      <c r="O68" s="85"/>
      <c r="P68" s="85"/>
      <c r="Q68" s="85"/>
      <c r="R68" s="85"/>
      <c r="S68" s="85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</row>
    <row r="69" spans="1:49" x14ac:dyDescent="0.3">
      <c r="A69" s="1" t="s">
        <v>37</v>
      </c>
      <c r="B69" s="6"/>
      <c r="C69" s="6"/>
      <c r="D69" s="6"/>
      <c r="E69" s="6"/>
      <c r="F69" s="6"/>
      <c r="G69" s="6"/>
      <c r="H69" s="6"/>
      <c r="I69" s="6"/>
      <c r="J69" s="6"/>
      <c r="K69" s="85">
        <v>0</v>
      </c>
      <c r="L69" s="85"/>
      <c r="M69" s="85"/>
      <c r="N69" s="85">
        <v>6000</v>
      </c>
      <c r="O69" s="85"/>
      <c r="P69" s="85"/>
      <c r="Q69" s="85">
        <v>6000</v>
      </c>
      <c r="R69" s="85"/>
      <c r="S69" s="85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</row>
    <row r="70" spans="1:49" x14ac:dyDescent="0.3">
      <c r="A70" s="1" t="s">
        <v>16</v>
      </c>
      <c r="B70" s="6"/>
      <c r="C70" s="6">
        <v>0</v>
      </c>
      <c r="D70" s="6">
        <v>0</v>
      </c>
      <c r="E70" s="6">
        <v>2500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85">
        <v>0</v>
      </c>
      <c r="L70" s="85">
        <v>0</v>
      </c>
      <c r="M70" s="85"/>
      <c r="N70" s="85">
        <v>0</v>
      </c>
      <c r="O70" s="85">
        <v>0</v>
      </c>
      <c r="P70" s="85">
        <v>0</v>
      </c>
      <c r="Q70" s="85">
        <v>2000</v>
      </c>
      <c r="R70" s="85">
        <v>0</v>
      </c>
      <c r="S70" s="85">
        <v>0</v>
      </c>
      <c r="T70" s="6">
        <v>0</v>
      </c>
      <c r="U70" s="6">
        <v>0</v>
      </c>
      <c r="V70" s="6">
        <v>10000</v>
      </c>
      <c r="W70" s="6">
        <v>0</v>
      </c>
      <c r="X70" s="6">
        <v>0</v>
      </c>
      <c r="Y70" s="6">
        <v>0</v>
      </c>
      <c r="Z70" s="6">
        <v>10000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10000</v>
      </c>
      <c r="AI70" s="6">
        <v>0</v>
      </c>
      <c r="AJ70" s="6">
        <v>0</v>
      </c>
      <c r="AK70" s="6">
        <v>0</v>
      </c>
      <c r="AL70" s="6">
        <v>20000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20000</v>
      </c>
      <c r="AT70" s="6">
        <v>0</v>
      </c>
      <c r="AU70" s="6">
        <v>0</v>
      </c>
      <c r="AV70" s="6">
        <v>0</v>
      </c>
      <c r="AW70" s="6">
        <v>0</v>
      </c>
    </row>
    <row r="71" spans="1:49" x14ac:dyDescent="0.3">
      <c r="A71" s="1" t="s">
        <v>17</v>
      </c>
      <c r="B71" s="6"/>
      <c r="C71" s="6"/>
      <c r="D71" s="6"/>
      <c r="E71" s="6"/>
      <c r="F71" s="6"/>
      <c r="G71" s="6"/>
      <c r="H71" s="6"/>
      <c r="I71" s="6"/>
      <c r="J71" s="6"/>
      <c r="K71" s="85">
        <v>0</v>
      </c>
      <c r="L71" s="112"/>
      <c r="M71" s="85"/>
      <c r="N71" s="85">
        <v>1000</v>
      </c>
      <c r="O71" s="85"/>
      <c r="P71" s="85"/>
      <c r="Q71" s="85"/>
      <c r="R71" s="85"/>
      <c r="S71" s="85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</row>
    <row r="72" spans="1:49" x14ac:dyDescent="0.3">
      <c r="A72" s="1" t="s">
        <v>129</v>
      </c>
      <c r="B72" s="6"/>
      <c r="C72" s="6"/>
      <c r="D72" s="6"/>
      <c r="E72" s="6"/>
      <c r="F72" s="6"/>
      <c r="G72" s="6"/>
      <c r="H72" s="6"/>
      <c r="I72" s="6"/>
      <c r="J72" s="6"/>
      <c r="K72" s="85"/>
      <c r="L72" s="112"/>
      <c r="M72" s="85"/>
      <c r="N72" s="85">
        <v>7000</v>
      </c>
      <c r="O72" s="85"/>
      <c r="P72" s="85"/>
      <c r="Q72" s="85"/>
      <c r="R72" s="85"/>
      <c r="S72" s="85"/>
      <c r="T72" s="6"/>
      <c r="U72" s="6"/>
      <c r="V72" s="85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</row>
    <row r="73" spans="1:49" x14ac:dyDescent="0.3">
      <c r="A73" s="1" t="s">
        <v>18</v>
      </c>
      <c r="B73" s="6"/>
      <c r="C73" s="6">
        <v>0</v>
      </c>
      <c r="D73" s="6"/>
      <c r="E73" s="6"/>
      <c r="F73" s="6">
        <v>0</v>
      </c>
      <c r="G73" s="6">
        <v>0</v>
      </c>
      <c r="H73" s="6">
        <v>0</v>
      </c>
      <c r="I73" s="6">
        <v>0</v>
      </c>
      <c r="J73" s="6"/>
      <c r="K73" s="85">
        <v>0</v>
      </c>
      <c r="L73" s="112"/>
      <c r="M73" s="85">
        <v>0</v>
      </c>
      <c r="N73" s="85">
        <v>5000</v>
      </c>
      <c r="O73" s="85"/>
      <c r="P73" s="85">
        <v>0</v>
      </c>
      <c r="Q73" s="85"/>
      <c r="R73" s="85">
        <v>0</v>
      </c>
      <c r="S73" s="85">
        <v>0</v>
      </c>
      <c r="T73" s="6">
        <v>0</v>
      </c>
      <c r="U73" s="6">
        <v>0</v>
      </c>
      <c r="V73" s="85">
        <v>10000</v>
      </c>
      <c r="W73" s="6">
        <v>0</v>
      </c>
      <c r="X73" s="6">
        <v>0</v>
      </c>
      <c r="Y73" s="6">
        <v>0</v>
      </c>
      <c r="Z73" s="6">
        <v>20000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20000</v>
      </c>
      <c r="AI73" s="6">
        <v>0</v>
      </c>
      <c r="AJ73" s="6">
        <v>0</v>
      </c>
      <c r="AK73" s="6">
        <v>0</v>
      </c>
      <c r="AL73" s="6">
        <v>30000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30000</v>
      </c>
      <c r="AT73" s="6">
        <v>0</v>
      </c>
      <c r="AU73" s="6">
        <v>0</v>
      </c>
      <c r="AV73" s="6">
        <v>0</v>
      </c>
      <c r="AW73" s="6">
        <v>0</v>
      </c>
    </row>
    <row r="74" spans="1:49" x14ac:dyDescent="0.3">
      <c r="A74" s="1" t="s">
        <v>130</v>
      </c>
      <c r="B74" s="6"/>
      <c r="C74" s="6">
        <v>0</v>
      </c>
      <c r="D74" s="6">
        <v>0</v>
      </c>
      <c r="E74" s="6"/>
      <c r="F74" s="6">
        <v>0</v>
      </c>
      <c r="G74" s="6">
        <v>0</v>
      </c>
      <c r="H74" s="6">
        <v>0</v>
      </c>
      <c r="I74" s="6">
        <v>0</v>
      </c>
      <c r="J74" s="6"/>
      <c r="K74" s="85">
        <v>0</v>
      </c>
      <c r="L74" s="85">
        <v>0</v>
      </c>
      <c r="M74" s="85">
        <v>0</v>
      </c>
      <c r="N74" s="85">
        <v>0</v>
      </c>
      <c r="O74" s="85"/>
      <c r="P74" s="85">
        <v>0</v>
      </c>
      <c r="Q74" s="85"/>
      <c r="R74" s="85">
        <v>0</v>
      </c>
      <c r="S74" s="85">
        <v>0</v>
      </c>
      <c r="T74" s="6">
        <v>0</v>
      </c>
      <c r="U74" s="6">
        <v>0</v>
      </c>
      <c r="V74" s="85">
        <v>10000</v>
      </c>
      <c r="W74" s="6">
        <v>0</v>
      </c>
      <c r="X74" s="6">
        <v>0</v>
      </c>
      <c r="Y74" s="6">
        <v>0</v>
      </c>
      <c r="Z74" s="6">
        <v>20000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20000</v>
      </c>
      <c r="AI74" s="6">
        <v>0</v>
      </c>
      <c r="AJ74" s="6">
        <v>0</v>
      </c>
      <c r="AK74" s="6">
        <v>0</v>
      </c>
      <c r="AL74" s="6">
        <v>30000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30000</v>
      </c>
      <c r="AT74" s="6">
        <v>0</v>
      </c>
      <c r="AU74" s="6">
        <v>0</v>
      </c>
      <c r="AV74" s="6">
        <v>0</v>
      </c>
      <c r="AW74" s="6">
        <v>0</v>
      </c>
    </row>
    <row r="75" spans="1:49" x14ac:dyDescent="0.3">
      <c r="A75" s="18" t="s">
        <v>19</v>
      </c>
      <c r="B75" s="6"/>
      <c r="C75" s="6"/>
      <c r="D75" s="6"/>
      <c r="E75" s="6"/>
      <c r="F75" s="6"/>
      <c r="G75" s="6"/>
      <c r="H75" s="6"/>
      <c r="I75" s="6"/>
      <c r="J75" s="6"/>
      <c r="K75" s="85"/>
      <c r="L75" s="85"/>
      <c r="M75" s="85"/>
      <c r="N75" s="85">
        <v>2000</v>
      </c>
      <c r="O75" s="85">
        <v>2000</v>
      </c>
      <c r="P75" s="85">
        <v>2000</v>
      </c>
      <c r="Q75" s="85">
        <v>2000</v>
      </c>
      <c r="R75" s="85">
        <v>2000</v>
      </c>
      <c r="S75" s="85">
        <v>2000</v>
      </c>
      <c r="T75" s="6">
        <v>2000</v>
      </c>
      <c r="U75" s="6">
        <v>2000</v>
      </c>
      <c r="V75" s="6">
        <v>2000</v>
      </c>
      <c r="W75" s="6">
        <v>2000</v>
      </c>
      <c r="X75" s="6">
        <v>2000</v>
      </c>
      <c r="Y75" s="6">
        <v>2000</v>
      </c>
      <c r="Z75" s="6">
        <v>2000</v>
      </c>
      <c r="AA75" s="6">
        <v>2000</v>
      </c>
      <c r="AB75" s="6">
        <v>2000</v>
      </c>
      <c r="AC75" s="6">
        <v>2000</v>
      </c>
      <c r="AD75" s="6">
        <v>2000</v>
      </c>
      <c r="AE75" s="6">
        <v>2000</v>
      </c>
      <c r="AF75" s="6">
        <v>2000</v>
      </c>
      <c r="AG75" s="6">
        <v>2000</v>
      </c>
      <c r="AH75" s="6">
        <v>2000</v>
      </c>
      <c r="AI75" s="6">
        <v>2000</v>
      </c>
      <c r="AJ75" s="6">
        <v>2000</v>
      </c>
      <c r="AK75" s="6">
        <v>2000</v>
      </c>
      <c r="AL75" s="6">
        <v>2000</v>
      </c>
      <c r="AM75" s="6">
        <v>2000</v>
      </c>
      <c r="AN75" s="6">
        <v>2000</v>
      </c>
      <c r="AO75" s="6">
        <v>2000</v>
      </c>
      <c r="AP75" s="6">
        <v>2000</v>
      </c>
      <c r="AQ75" s="6">
        <v>2000</v>
      </c>
      <c r="AR75" s="6">
        <v>2000</v>
      </c>
      <c r="AS75" s="6">
        <v>2000</v>
      </c>
      <c r="AT75" s="6">
        <v>2000</v>
      </c>
      <c r="AU75" s="6">
        <v>2000</v>
      </c>
      <c r="AV75" s="6">
        <v>2000</v>
      </c>
      <c r="AW75" s="6">
        <v>2000</v>
      </c>
    </row>
    <row r="76" spans="1:49" ht="15" thickBot="1" x14ac:dyDescent="0.3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</row>
    <row r="77" spans="1:49" s="60" customFormat="1" thickBot="1" x14ac:dyDescent="0.3">
      <c r="A77" s="92" t="s">
        <v>20</v>
      </c>
      <c r="B77" s="95">
        <f t="shared" ref="B77:AW77" si="55">+B51-B53-B66</f>
        <v>-44697.4</v>
      </c>
      <c r="C77" s="95">
        <f t="shared" si="55"/>
        <v>-50832.4</v>
      </c>
      <c r="D77" s="95">
        <f t="shared" si="55"/>
        <v>-39447.4</v>
      </c>
      <c r="E77" s="95">
        <f t="shared" si="55"/>
        <v>-16097.4</v>
      </c>
      <c r="F77" s="95">
        <f t="shared" si="55"/>
        <v>-9597.4</v>
      </c>
      <c r="G77" s="95">
        <f t="shared" si="55"/>
        <v>-74597.399999999994</v>
      </c>
      <c r="H77" s="95">
        <f t="shared" si="55"/>
        <v>-9597.4</v>
      </c>
      <c r="I77" s="95">
        <f t="shared" si="55"/>
        <v>-10097.4</v>
      </c>
      <c r="J77" s="95">
        <f t="shared" si="55"/>
        <v>-14597.4</v>
      </c>
      <c r="K77" s="95">
        <f t="shared" si="55"/>
        <v>-9137.4</v>
      </c>
      <c r="L77" s="95">
        <f t="shared" si="55"/>
        <v>-17595.846108815429</v>
      </c>
      <c r="M77" s="95">
        <f t="shared" si="55"/>
        <v>-13618.26346418733</v>
      </c>
      <c r="N77" s="95">
        <f t="shared" si="55"/>
        <v>-37655.09477444904</v>
      </c>
      <c r="O77" s="95">
        <f t="shared" si="55"/>
        <v>-22136.727178030305</v>
      </c>
      <c r="P77" s="95">
        <f t="shared" si="55"/>
        <v>-23103.979244146005</v>
      </c>
      <c r="Q77" s="95">
        <f t="shared" si="55"/>
        <v>-17649.165194559228</v>
      </c>
      <c r="R77" s="95">
        <f t="shared" si="55"/>
        <v>-6113.1817234848477</v>
      </c>
      <c r="S77" s="95">
        <f t="shared" si="55"/>
        <v>-1506.1651945592257</v>
      </c>
      <c r="T77" s="95">
        <f t="shared" si="55"/>
        <v>-46712.799621212122</v>
      </c>
      <c r="U77" s="95">
        <f t="shared" si="55"/>
        <v>-10929.097141873281</v>
      </c>
      <c r="V77" s="95">
        <f t="shared" si="55"/>
        <v>-108628.97610192839</v>
      </c>
      <c r="W77" s="95">
        <f t="shared" si="55"/>
        <v>-66332.798415977973</v>
      </c>
      <c r="X77" s="95">
        <f t="shared" si="55"/>
        <v>-12143.521556473832</v>
      </c>
      <c r="Y77" s="95">
        <f t="shared" si="55"/>
        <v>-1762.9389118457257</v>
      </c>
      <c r="Z77" s="95">
        <f t="shared" si="55"/>
        <v>-45029.269412878777</v>
      </c>
      <c r="AA77" s="95">
        <f t="shared" si="55"/>
        <v>24036.201885330593</v>
      </c>
      <c r="AB77" s="95">
        <f t="shared" si="55"/>
        <v>-30165.43861053716</v>
      </c>
      <c r="AC77" s="95">
        <f t="shared" si="55"/>
        <v>53992.569653925646</v>
      </c>
      <c r="AD77" s="95">
        <f t="shared" si="55"/>
        <v>72175.606844008289</v>
      </c>
      <c r="AE77" s="95">
        <f t="shared" si="55"/>
        <v>91720.086182851257</v>
      </c>
      <c r="AF77" s="95">
        <f t="shared" si="55"/>
        <v>113063.31758780996</v>
      </c>
      <c r="AG77" s="95">
        <f t="shared" si="55"/>
        <v>23868.887835743808</v>
      </c>
      <c r="AH77" s="95">
        <f t="shared" si="55"/>
        <v>111316.79692665293</v>
      </c>
      <c r="AI77" s="95">
        <f t="shared" si="55"/>
        <v>186243.18535640501</v>
      </c>
      <c r="AJ77" s="95">
        <f t="shared" si="55"/>
        <v>213302.67295971076</v>
      </c>
      <c r="AK77" s="95">
        <f t="shared" si="55"/>
        <v>241535.25973657024</v>
      </c>
      <c r="AL77" s="95">
        <f t="shared" si="55"/>
        <v>188691.28944602271</v>
      </c>
      <c r="AM77" s="95">
        <f t="shared" si="55"/>
        <v>298566.21506585751</v>
      </c>
      <c r="AN77" s="95">
        <f t="shared" si="55"/>
        <v>329145.00018982438</v>
      </c>
      <c r="AO77" s="95">
        <f t="shared" si="55"/>
        <v>360427.64481792354</v>
      </c>
      <c r="AP77" s="95">
        <f t="shared" si="55"/>
        <v>391710.28944602271</v>
      </c>
      <c r="AQ77" s="95">
        <f t="shared" si="55"/>
        <v>422992.93407412199</v>
      </c>
      <c r="AR77" s="95">
        <f t="shared" si="55"/>
        <v>454275.57870222116</v>
      </c>
      <c r="AS77" s="95">
        <f t="shared" si="55"/>
        <v>405558.22333032032</v>
      </c>
      <c r="AT77" s="95">
        <f t="shared" si="55"/>
        <v>516840.86795841949</v>
      </c>
      <c r="AU77" s="95">
        <f t="shared" si="55"/>
        <v>548123.51258651866</v>
      </c>
      <c r="AV77" s="95">
        <f t="shared" si="55"/>
        <v>579406.15721461782</v>
      </c>
      <c r="AW77" s="95">
        <f t="shared" si="55"/>
        <v>610688.80184271699</v>
      </c>
    </row>
    <row r="79" spans="1:49" x14ac:dyDescent="0.3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</row>
  </sheetData>
  <dataConsolidate/>
  <mergeCells count="4">
    <mergeCell ref="B1:M1"/>
    <mergeCell ref="N1:Y1"/>
    <mergeCell ref="Z1:AK1"/>
    <mergeCell ref="AL1:AW1"/>
  </mergeCells>
  <phoneticPr fontId="19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3"/>
  <sheetViews>
    <sheetView showGridLines="0" workbookViewId="0">
      <pane ySplit="1" topLeftCell="A2" activePane="bottomLeft" state="frozen"/>
      <selection pane="bottomLeft" activeCell="A38" sqref="A38"/>
    </sheetView>
  </sheetViews>
  <sheetFormatPr baseColWidth="10" defaultColWidth="11.33203125" defaultRowHeight="14.4" x14ac:dyDescent="0.3"/>
  <cols>
    <col min="1" max="1" width="37" customWidth="1"/>
    <col min="2" max="5" width="14" customWidth="1"/>
    <col min="6" max="6" width="17.109375" style="2" hidden="1" customWidth="1"/>
    <col min="7" max="7" width="14.33203125" style="9" customWidth="1"/>
    <col min="8" max="12" width="14.33203125" style="10" customWidth="1"/>
  </cols>
  <sheetData>
    <row r="1" spans="1:12" ht="23.4" x14ac:dyDescent="0.45">
      <c r="A1" s="34"/>
      <c r="B1" s="96">
        <v>2019</v>
      </c>
      <c r="C1" s="96">
        <v>2020</v>
      </c>
      <c r="D1" s="96">
        <v>2021</v>
      </c>
      <c r="E1" s="96">
        <v>2022</v>
      </c>
      <c r="F1" s="35" t="s">
        <v>21</v>
      </c>
    </row>
    <row r="2" spans="1:12" s="13" customFormat="1" ht="16.05" customHeight="1" x14ac:dyDescent="0.4">
      <c r="A2" s="69" t="s">
        <v>139</v>
      </c>
      <c r="B2" s="99">
        <f>+B3+B4</f>
        <v>3519.2975206611573</v>
      </c>
      <c r="C2" s="99">
        <f>+C3+C4</f>
        <v>670856.31404958689</v>
      </c>
      <c r="D2" s="99">
        <f>+D3+D4</f>
        <v>4353371.0330578517</v>
      </c>
      <c r="E2" s="99">
        <f>+E3+E4</f>
        <v>12280940.628099173</v>
      </c>
      <c r="F2" s="37">
        <f>SUM(B2:E2)</f>
        <v>17308687.272727273</v>
      </c>
      <c r="G2" s="11"/>
      <c r="H2" s="12"/>
      <c r="I2" s="12"/>
      <c r="J2" s="12"/>
      <c r="K2" s="12"/>
      <c r="L2" s="12"/>
    </row>
    <row r="3" spans="1:12" s="13" customFormat="1" ht="16.05" hidden="1" customHeight="1" x14ac:dyDescent="0.4">
      <c r="A3" s="70"/>
      <c r="B3" s="100">
        <f>SUM('Monthly P&amp;L'!B4:M4)</f>
        <v>3519.2975206611573</v>
      </c>
      <c r="C3" s="100">
        <f>SUM('Monthly P&amp;L'!N4:Y4)</f>
        <v>670856.31404958689</v>
      </c>
      <c r="D3" s="100">
        <f>SUM('Monthly P&amp;L'!Z4:AK4)</f>
        <v>4353371.0330578517</v>
      </c>
      <c r="E3" s="100">
        <f>SUM('Monthly P&amp;L'!AL4:AW4)</f>
        <v>12280940.628099173</v>
      </c>
      <c r="F3" s="37">
        <f>SUM(B3:E3)</f>
        <v>17308687.272727273</v>
      </c>
      <c r="G3" s="11"/>
      <c r="H3" s="12"/>
      <c r="I3" s="12"/>
      <c r="J3" s="12"/>
      <c r="K3" s="12"/>
      <c r="L3" s="12"/>
    </row>
    <row r="4" spans="1:12" s="13" customFormat="1" ht="16.05" customHeight="1" x14ac:dyDescent="0.4">
      <c r="A4" s="70"/>
      <c r="B4" s="100"/>
      <c r="C4" s="100"/>
      <c r="D4" s="100"/>
      <c r="E4" s="100"/>
      <c r="F4" s="37">
        <f>SUM(B4:E4)</f>
        <v>0</v>
      </c>
      <c r="G4" s="11"/>
      <c r="H4" s="12"/>
      <c r="I4" s="12"/>
      <c r="J4" s="12"/>
      <c r="K4" s="12"/>
      <c r="L4" s="12"/>
    </row>
    <row r="5" spans="1:12" s="13" customFormat="1" ht="16.05" customHeight="1" x14ac:dyDescent="0.4">
      <c r="A5" s="70" t="s">
        <v>72</v>
      </c>
      <c r="B5" s="100">
        <f>SUM('Monthly P&amp;L'!B15:M15)</f>
        <v>113359.64876033057</v>
      </c>
      <c r="C5" s="100">
        <f>SUM('Monthly P&amp;L'!N15:Y15)</f>
        <v>460588.15702479344</v>
      </c>
      <c r="D5" s="100">
        <f>SUM('Monthly P&amp;L'!Z15:AK15)</f>
        <v>2418125.5165289263</v>
      </c>
      <c r="E5" s="100">
        <f>SUM('Monthly P&amp;L'!AL15:AW15)</f>
        <v>6217270.3140495867</v>
      </c>
      <c r="F5" s="37">
        <f>SUM(B5:E5)</f>
        <v>9209343.6363636367</v>
      </c>
      <c r="G5" s="11"/>
      <c r="H5" s="12"/>
      <c r="I5" s="12"/>
      <c r="J5" s="12"/>
      <c r="K5" s="12"/>
      <c r="L5" s="12"/>
    </row>
    <row r="6" spans="1:12" ht="16.05" hidden="1" customHeight="1" x14ac:dyDescent="0.3">
      <c r="A6" s="71"/>
      <c r="B6" s="101"/>
      <c r="C6" s="101"/>
      <c r="D6" s="101"/>
      <c r="E6" s="101"/>
      <c r="F6" s="41"/>
      <c r="G6" s="11"/>
      <c r="H6" s="12"/>
      <c r="I6" s="12"/>
      <c r="J6" s="12"/>
      <c r="K6" s="12"/>
      <c r="L6" s="12"/>
    </row>
    <row r="7" spans="1:12" s="13" customFormat="1" ht="16.05" customHeight="1" x14ac:dyDescent="0.4">
      <c r="A7" s="70" t="s">
        <v>73</v>
      </c>
      <c r="B7" s="100">
        <f>SUM('Monthly P&amp;L'!B24:M24)</f>
        <v>77885</v>
      </c>
      <c r="C7" s="100">
        <f>SUM('Monthly P&amp;L'!N24:Y24)</f>
        <v>50500</v>
      </c>
      <c r="D7" s="100">
        <f>SUM('Monthly P&amp;L'!Z24:AK24)</f>
        <v>24000</v>
      </c>
      <c r="E7" s="100">
        <f>SUM('Monthly P&amp;L'!AL24:AW24)</f>
        <v>32400</v>
      </c>
      <c r="F7" s="36">
        <f>SUM(B7:E7)</f>
        <v>184785</v>
      </c>
      <c r="G7" s="11"/>
      <c r="H7" s="12"/>
      <c r="I7" s="12"/>
      <c r="J7" s="12"/>
      <c r="K7" s="12"/>
      <c r="L7" s="12"/>
    </row>
    <row r="8" spans="1:12" ht="16.05" hidden="1" customHeight="1" x14ac:dyDescent="0.3">
      <c r="A8" s="71"/>
      <c r="B8" s="39"/>
      <c r="C8" s="72">
        <f>+C7/C$2</f>
        <v>7.5276924346376881E-2</v>
      </c>
      <c r="D8" s="72">
        <f>+D7/D$2</f>
        <v>5.5129691031968299E-3</v>
      </c>
      <c r="E8" s="72">
        <f>+E7/E$2</f>
        <v>2.6382343976053264E-3</v>
      </c>
      <c r="F8" s="42">
        <f>SUM(B8:E8)</f>
        <v>8.342812784717904E-2</v>
      </c>
      <c r="G8" s="11"/>
      <c r="H8" s="12"/>
      <c r="I8" s="12"/>
      <c r="J8" s="12"/>
      <c r="K8" s="12"/>
      <c r="L8" s="12"/>
    </row>
    <row r="9" spans="1:12" s="13" customFormat="1" ht="16.05" customHeight="1" x14ac:dyDescent="0.4">
      <c r="A9" s="70" t="s">
        <v>77</v>
      </c>
      <c r="B9" s="100">
        <f>SUM('Monthly P&amp;L'!B39:M39)</f>
        <v>34288.80000000001</v>
      </c>
      <c r="C9" s="100">
        <f>SUM('Monthly P&amp;L'!N39:Y39)</f>
        <v>40148.80000000001</v>
      </c>
      <c r="D9" s="100">
        <f>SUM('Monthly P&amp;L'!Z39:AK39)</f>
        <v>49048.80000000001</v>
      </c>
      <c r="E9" s="100">
        <f>SUM('Monthly P&amp;L'!AL39:AW39)</f>
        <v>49048.80000000001</v>
      </c>
      <c r="F9" s="36">
        <f>SUM(B9:E9)</f>
        <v>172535.20000000004</v>
      </c>
      <c r="G9" s="16"/>
      <c r="H9" s="15"/>
      <c r="I9" s="15"/>
      <c r="J9" s="15"/>
      <c r="K9" s="15"/>
      <c r="L9" s="15"/>
    </row>
    <row r="10" spans="1:12" s="13" customFormat="1" ht="16.05" hidden="1" customHeight="1" x14ac:dyDescent="0.4">
      <c r="A10" s="70"/>
      <c r="B10" s="73"/>
      <c r="C10" s="72">
        <f>+C9/C$2</f>
        <v>5.9847092677184494E-2</v>
      </c>
      <c r="D10" s="72">
        <f>+D9/D$2</f>
        <v>1.1266854956203363E-2</v>
      </c>
      <c r="E10" s="72">
        <f>+E9/E$2</f>
        <v>3.9938960284340791E-3</v>
      </c>
      <c r="F10" s="43"/>
      <c r="G10" s="16"/>
      <c r="H10" s="15"/>
      <c r="I10" s="15"/>
      <c r="J10" s="15"/>
      <c r="K10" s="15"/>
      <c r="L10" s="15"/>
    </row>
    <row r="11" spans="1:12" s="13" customFormat="1" ht="16.05" customHeight="1" x14ac:dyDescent="0.4">
      <c r="A11" s="70" t="s">
        <v>78</v>
      </c>
      <c r="B11" s="102">
        <f>SUM('Monthly P&amp;L'!B66:M66)</f>
        <v>13000</v>
      </c>
      <c r="C11" s="102">
        <f>SUM('Monthly P&amp;L'!N66:Y66)</f>
        <v>98000</v>
      </c>
      <c r="D11" s="102">
        <f>SUM('Monthly P&amp;L'!Z66:AK66)</f>
        <v>148000</v>
      </c>
      <c r="E11" s="102">
        <f>SUM('Monthly P&amp;L'!AL66:AW66)</f>
        <v>208000</v>
      </c>
      <c r="F11" s="36">
        <f>SUM(B11:E11)</f>
        <v>467000</v>
      </c>
      <c r="I11" s="15"/>
      <c r="J11" s="15"/>
      <c r="K11" s="15"/>
      <c r="L11" s="15"/>
    </row>
    <row r="12" spans="1:12" s="13" customFormat="1" ht="16.05" hidden="1" customHeight="1" x14ac:dyDescent="0.4">
      <c r="A12" s="70"/>
      <c r="B12" s="74"/>
      <c r="C12" s="72">
        <f>+C11/C$2</f>
        <v>0.14608195219692938</v>
      </c>
      <c r="D12" s="72">
        <f>+D11/D$2</f>
        <v>3.3996642803047115E-2</v>
      </c>
      <c r="E12" s="72">
        <f>+E11/E$2</f>
        <v>1.6936813416725552E-2</v>
      </c>
      <c r="F12" s="43"/>
      <c r="I12" s="15"/>
      <c r="J12" s="15"/>
      <c r="K12" s="15"/>
      <c r="L12" s="15"/>
    </row>
    <row r="13" spans="1:12" s="13" customFormat="1" ht="16.05" hidden="1" customHeight="1" x14ac:dyDescent="0.4">
      <c r="A13" s="70" t="s">
        <v>15</v>
      </c>
      <c r="B13" s="102">
        <f>+B2-B5-B7-B9-B11</f>
        <v>-235014.15123966945</v>
      </c>
      <c r="C13" s="102">
        <f>+C2-C5-C7-C9-C11</f>
        <v>21619.357024793426</v>
      </c>
      <c r="D13" s="102">
        <f>+D2-D5-D7-D9-D11</f>
        <v>1714196.7165289253</v>
      </c>
      <c r="E13" s="102">
        <f>+E2-E5-E7-E9-E11</f>
        <v>5774221.5140495868</v>
      </c>
      <c r="F13" s="37">
        <f>+F2-F7-F9-F11</f>
        <v>16484367.072727274</v>
      </c>
      <c r="G13" s="16"/>
    </row>
    <row r="14" spans="1:12" ht="16.05" hidden="1" customHeight="1" x14ac:dyDescent="0.3">
      <c r="A14" s="75" t="s">
        <v>22</v>
      </c>
      <c r="B14" s="44" t="s">
        <v>23</v>
      </c>
      <c r="C14" s="72">
        <f>+C13/C$2</f>
        <v>3.222650897371656E-2</v>
      </c>
      <c r="D14" s="72">
        <f>D13/D2</f>
        <v>0.39376306395939248</v>
      </c>
      <c r="E14" s="72">
        <f>E13/E2</f>
        <v>0.47017746351105949</v>
      </c>
      <c r="F14" s="41"/>
      <c r="H14" s="12"/>
      <c r="I14" s="12"/>
      <c r="J14" s="12"/>
      <c r="K14" s="12"/>
      <c r="L14" s="12"/>
    </row>
    <row r="15" spans="1:12" s="14" customFormat="1" ht="16.05" hidden="1" customHeight="1" x14ac:dyDescent="0.3">
      <c r="A15" s="71"/>
      <c r="B15" s="38"/>
      <c r="C15" s="38"/>
      <c r="D15" s="38"/>
      <c r="E15" s="38"/>
      <c r="F15" s="45"/>
      <c r="G15" s="9"/>
      <c r="H15" s="10"/>
      <c r="I15" s="10"/>
      <c r="J15" s="10"/>
      <c r="K15" s="10"/>
      <c r="L15" s="10"/>
    </row>
    <row r="16" spans="1:12" s="13" customFormat="1" ht="16.05" customHeight="1" x14ac:dyDescent="0.4">
      <c r="A16" s="70" t="s">
        <v>79</v>
      </c>
      <c r="B16" s="102">
        <f>SUM('Monthly P&amp;L'!E53:M53)</f>
        <v>58698.958333333343</v>
      </c>
      <c r="C16" s="102">
        <f>SUM('Monthly P&amp;L'!N53:Y53)</f>
        <v>376293.80208333337</v>
      </c>
      <c r="D16" s="102">
        <f>SUM('Monthly P&amp;L'!Z53:AK53)</f>
        <v>658136.83958333335</v>
      </c>
      <c r="E16" s="102">
        <f>SUM('Monthly P&amp;L'!AL53:AW53)</f>
        <v>667794.99937499978</v>
      </c>
      <c r="F16" s="36">
        <f>SUM(B16:E16)</f>
        <v>1760924.5993749998</v>
      </c>
    </row>
    <row r="17" spans="1:12" s="13" customFormat="1" ht="16.05" customHeight="1" x14ac:dyDescent="0.4">
      <c r="A17" s="75" t="s">
        <v>81</v>
      </c>
      <c r="B17" s="76" t="s">
        <v>23</v>
      </c>
      <c r="C17" s="72">
        <f>+C16/C$2</f>
        <v>0.5609156449789624</v>
      </c>
      <c r="D17" s="72">
        <f>+D16/D2</f>
        <v>0.15117866926243853</v>
      </c>
      <c r="E17" s="72">
        <f>+E16/E2</f>
        <v>5.4376535120368885E-2</v>
      </c>
      <c r="F17" s="40"/>
      <c r="K17" s="15"/>
      <c r="L17" s="15"/>
    </row>
    <row r="18" spans="1:12" ht="16.05" customHeight="1" x14ac:dyDescent="0.3">
      <c r="A18" s="71"/>
      <c r="B18" s="71"/>
      <c r="C18" s="71"/>
      <c r="D18" s="71"/>
      <c r="E18" s="71"/>
      <c r="F18" s="41"/>
    </row>
    <row r="19" spans="1:12" s="13" customFormat="1" ht="16.05" customHeight="1" x14ac:dyDescent="0.4">
      <c r="A19" s="70" t="s">
        <v>20</v>
      </c>
      <c r="B19" s="102">
        <f>+B13-B16</f>
        <v>-293713.10957300279</v>
      </c>
      <c r="C19" s="102">
        <f>+C13-C16</f>
        <v>-354674.44505853998</v>
      </c>
      <c r="D19" s="102">
        <f>+D13-D16</f>
        <v>1056059.876945592</v>
      </c>
      <c r="E19" s="102">
        <f>+E13-E16</f>
        <v>5106426.5146745872</v>
      </c>
      <c r="F19" s="46">
        <f>SUM(B19:E19)</f>
        <v>5514098.8369886363</v>
      </c>
      <c r="G19" s="17"/>
      <c r="H19" s="15"/>
      <c r="I19" s="15"/>
      <c r="J19" s="15"/>
      <c r="K19" s="15"/>
      <c r="L19" s="15"/>
    </row>
    <row r="20" spans="1:12" ht="16.05" customHeight="1" x14ac:dyDescent="0.3">
      <c r="A20" s="75" t="s">
        <v>24</v>
      </c>
      <c r="B20" s="47" t="s">
        <v>23</v>
      </c>
      <c r="C20" s="72">
        <f>C19/C2</f>
        <v>-0.52868913600524592</v>
      </c>
      <c r="D20" s="72">
        <f>D19/D2</f>
        <v>0.24258439469695395</v>
      </c>
      <c r="E20" s="72">
        <f>E19/E2</f>
        <v>0.41580092839069061</v>
      </c>
      <c r="F20" s="41"/>
    </row>
    <row r="21" spans="1:12" ht="16.05" customHeight="1" x14ac:dyDescent="0.3">
      <c r="A21" s="71" t="s">
        <v>25</v>
      </c>
      <c r="B21" s="74"/>
      <c r="C21" s="74"/>
      <c r="D21" s="74"/>
      <c r="E21" s="74"/>
      <c r="F21" s="41"/>
    </row>
    <row r="22" spans="1:12" ht="16.05" customHeight="1" x14ac:dyDescent="0.3">
      <c r="A22" s="71"/>
      <c r="B22" s="38"/>
      <c r="C22" s="38"/>
      <c r="D22" s="38"/>
      <c r="E22" s="38"/>
      <c r="F22" s="41"/>
    </row>
    <row r="23" spans="1:12" ht="16.05" customHeight="1" x14ac:dyDescent="0.3">
      <c r="A23" s="70" t="s">
        <v>82</v>
      </c>
      <c r="B23" s="102">
        <f>B19-B21</f>
        <v>-293713.10957300279</v>
      </c>
      <c r="C23" s="102">
        <f>C19-C21</f>
        <v>-354674.44505853998</v>
      </c>
      <c r="D23" s="102">
        <f>D19-D21</f>
        <v>1056059.876945592</v>
      </c>
      <c r="E23" s="102">
        <f>E19-E21</f>
        <v>5106426.5146745872</v>
      </c>
      <c r="F23" s="41"/>
    </row>
    <row r="24" spans="1:12" ht="16.05" customHeight="1" x14ac:dyDescent="0.3">
      <c r="A24" s="71"/>
      <c r="B24" s="71"/>
      <c r="C24" s="71"/>
      <c r="D24" s="71"/>
      <c r="E24" s="71"/>
      <c r="F24" s="41"/>
    </row>
    <row r="25" spans="1:12" s="13" customFormat="1" ht="16.05" customHeight="1" x14ac:dyDescent="0.4">
      <c r="A25" s="71" t="s">
        <v>83</v>
      </c>
      <c r="B25" s="74">
        <v>0</v>
      </c>
      <c r="C25" s="74">
        <v>0</v>
      </c>
      <c r="D25" s="74">
        <v>0</v>
      </c>
      <c r="E25" s="74">
        <v>0</v>
      </c>
      <c r="F25" s="43"/>
      <c r="G25" s="16"/>
      <c r="H25" s="15"/>
      <c r="I25" s="15"/>
      <c r="J25" s="15"/>
      <c r="K25" s="15"/>
      <c r="L25" s="15"/>
    </row>
    <row r="26" spans="1:12" s="13" customFormat="1" ht="16.05" customHeight="1" x14ac:dyDescent="0.4">
      <c r="A26" s="70" t="s">
        <v>84</v>
      </c>
      <c r="B26" s="102">
        <f>B23+B25</f>
        <v>-293713.10957300279</v>
      </c>
      <c r="C26" s="102">
        <f>C23+C25</f>
        <v>-354674.44505853998</v>
      </c>
      <c r="D26" s="102">
        <f>D23+D25</f>
        <v>1056059.876945592</v>
      </c>
      <c r="E26" s="102">
        <f>E23+E25</f>
        <v>5106426.5146745872</v>
      </c>
      <c r="F26" s="46">
        <f>SUM(B26:E26)</f>
        <v>5514098.8369886363</v>
      </c>
      <c r="G26" s="16"/>
      <c r="H26" s="15"/>
      <c r="I26" s="15"/>
      <c r="J26" s="15"/>
      <c r="K26" s="15"/>
      <c r="L26" s="15"/>
    </row>
    <row r="27" spans="1:12" s="13" customFormat="1" ht="16.05" customHeight="1" x14ac:dyDescent="0.4">
      <c r="A27" s="71" t="s">
        <v>85</v>
      </c>
      <c r="B27" s="47" t="s">
        <v>23</v>
      </c>
      <c r="C27" s="72">
        <f>C23/C2</f>
        <v>-0.52868913600524592</v>
      </c>
      <c r="D27" s="72">
        <f>D23/D2</f>
        <v>0.24258439469695395</v>
      </c>
      <c r="E27" s="72">
        <f>E23/E2</f>
        <v>0.41580092839069061</v>
      </c>
      <c r="F27" s="46"/>
      <c r="G27" s="16"/>
      <c r="H27" s="15"/>
      <c r="I27" s="15"/>
      <c r="J27" s="15"/>
      <c r="K27" s="15"/>
      <c r="L27" s="15"/>
    </row>
    <row r="28" spans="1:12" s="13" customFormat="1" ht="16.05" customHeight="1" x14ac:dyDescent="0.4">
      <c r="A28" s="71" t="s">
        <v>86</v>
      </c>
      <c r="B28" s="74"/>
      <c r="C28" s="74"/>
      <c r="D28" s="74"/>
      <c r="E28" s="74"/>
      <c r="F28" s="43"/>
      <c r="G28" s="16"/>
      <c r="H28" s="15"/>
      <c r="I28" s="15"/>
      <c r="J28" s="15"/>
      <c r="K28" s="15"/>
      <c r="L28" s="15"/>
    </row>
    <row r="29" spans="1:12" ht="16.05" customHeight="1" x14ac:dyDescent="0.3">
      <c r="A29" s="71" t="s">
        <v>87</v>
      </c>
      <c r="B29" s="103">
        <v>-114000</v>
      </c>
      <c r="C29" s="101">
        <f>+B31+B29</f>
        <v>-407713.10957300279</v>
      </c>
      <c r="D29" s="101">
        <f>+C29+C31</f>
        <v>-762387.55463154276</v>
      </c>
      <c r="E29" s="101"/>
      <c r="F29" s="41"/>
    </row>
    <row r="30" spans="1:12" ht="16.05" customHeight="1" x14ac:dyDescent="0.3">
      <c r="A30" s="98" t="s">
        <v>88</v>
      </c>
      <c r="B30" s="101">
        <v>0</v>
      </c>
      <c r="C30" s="101">
        <v>0</v>
      </c>
      <c r="D30" s="101">
        <f>(D26+D29)*0.25</f>
        <v>73418.080578512308</v>
      </c>
      <c r="E30" s="101">
        <f>(E26+E29)*0.15*0.25</f>
        <v>191490.99430029702</v>
      </c>
      <c r="F30" s="41"/>
    </row>
    <row r="31" spans="1:12" s="13" customFormat="1" ht="16.05" customHeight="1" x14ac:dyDescent="0.4">
      <c r="A31" s="77" t="s">
        <v>89</v>
      </c>
      <c r="B31" s="104">
        <f>+B26-B30</f>
        <v>-293713.10957300279</v>
      </c>
      <c r="C31" s="104">
        <f>+C26-C30</f>
        <v>-354674.44505853998</v>
      </c>
      <c r="D31" s="104">
        <f>+D26-D30</f>
        <v>982641.79636707972</v>
      </c>
      <c r="E31" s="104">
        <f>+E26-E30</f>
        <v>4914935.5203742897</v>
      </c>
      <c r="F31" s="46">
        <f>SUMIF(B31:E31,"&gt;0")</f>
        <v>5897577.3167413697</v>
      </c>
      <c r="G31" s="16"/>
      <c r="H31" s="15"/>
      <c r="I31" s="15"/>
      <c r="J31" s="15"/>
      <c r="K31" s="15"/>
      <c r="L31" s="15"/>
    </row>
    <row r="33" spans="1:1" x14ac:dyDescent="0.3">
      <c r="A33" s="97" t="s">
        <v>90</v>
      </c>
    </row>
  </sheetData>
  <pageMargins left="0.7" right="0.7" top="0.75" bottom="0.75" header="0.3" footer="0.3"/>
  <pageSetup paperSize="9" orientation="portrait" r:id="rId1"/>
  <ignoredErrors>
    <ignoredError sqref="C11:D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FD49"/>
  <sheetViews>
    <sheetView tabSelected="1" zoomScaleNormal="100" workbookViewId="0">
      <pane xSplit="1" ySplit="3" topLeftCell="I4" activePane="bottomRight" state="frozen"/>
      <selection pane="topRight" activeCell="B1" sqref="B1"/>
      <selection pane="bottomLeft" activeCell="A4" sqref="A4"/>
      <selection pane="bottomRight" activeCell="M4" sqref="M4"/>
    </sheetView>
  </sheetViews>
  <sheetFormatPr baseColWidth="10" defaultColWidth="11.33203125" defaultRowHeight="14.4" x14ac:dyDescent="0.3"/>
  <cols>
    <col min="1" max="1" width="41.77734375" style="53" customWidth="1"/>
    <col min="2" max="8" width="13.33203125" style="53" customWidth="1"/>
    <col min="9" max="12" width="13.33203125" style="53" hidden="1" customWidth="1"/>
    <col min="13" max="49" width="13.33203125" style="53" customWidth="1"/>
    <col min="50" max="61" width="24.77734375" style="53" hidden="1" customWidth="1"/>
    <col min="62" max="62" width="11.33203125" style="53" customWidth="1"/>
    <col min="63" max="16384" width="11.33203125" style="53"/>
  </cols>
  <sheetData>
    <row r="1" spans="1:63" x14ac:dyDescent="0.3">
      <c r="B1" s="121" t="s">
        <v>36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2" t="s">
        <v>26</v>
      </c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1" t="s">
        <v>27</v>
      </c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</row>
    <row r="2" spans="1:63" x14ac:dyDescent="0.3">
      <c r="A2" s="53" t="s">
        <v>93</v>
      </c>
      <c r="B2" s="61">
        <v>1</v>
      </c>
      <c r="C2" s="61">
        <v>2</v>
      </c>
      <c r="D2" s="61">
        <v>3</v>
      </c>
      <c r="E2" s="61">
        <v>4</v>
      </c>
      <c r="F2" s="61">
        <v>5</v>
      </c>
      <c r="G2" s="61">
        <v>6</v>
      </c>
      <c r="H2" s="61">
        <v>7</v>
      </c>
      <c r="I2" s="61">
        <v>8</v>
      </c>
      <c r="J2" s="61">
        <v>9</v>
      </c>
      <c r="K2" s="61">
        <v>10</v>
      </c>
      <c r="L2" s="61">
        <v>11</v>
      </c>
      <c r="M2" s="61">
        <v>12</v>
      </c>
      <c r="N2" s="61">
        <v>13</v>
      </c>
      <c r="O2" s="61">
        <v>14</v>
      </c>
      <c r="P2" s="61">
        <v>15</v>
      </c>
      <c r="Q2" s="61">
        <v>16</v>
      </c>
      <c r="R2" s="61">
        <v>17</v>
      </c>
      <c r="S2" s="61">
        <v>18</v>
      </c>
      <c r="T2" s="61">
        <v>19</v>
      </c>
      <c r="U2" s="61">
        <v>20</v>
      </c>
      <c r="V2" s="61">
        <v>21</v>
      </c>
      <c r="W2" s="61">
        <v>22</v>
      </c>
      <c r="X2" s="61">
        <v>23</v>
      </c>
      <c r="Y2" s="61">
        <v>24</v>
      </c>
      <c r="Z2" s="61">
        <v>25</v>
      </c>
      <c r="AA2" s="61">
        <v>26</v>
      </c>
      <c r="AB2" s="61">
        <v>27</v>
      </c>
      <c r="AC2" s="61">
        <v>28</v>
      </c>
      <c r="AD2" s="61">
        <v>29</v>
      </c>
      <c r="AE2" s="61">
        <v>30</v>
      </c>
      <c r="AF2" s="61">
        <v>31</v>
      </c>
      <c r="AG2" s="61">
        <v>32</v>
      </c>
      <c r="AH2" s="61">
        <v>33</v>
      </c>
      <c r="AI2" s="61">
        <v>34</v>
      </c>
      <c r="AJ2" s="61">
        <v>35</v>
      </c>
      <c r="AK2" s="61">
        <v>36</v>
      </c>
      <c r="AL2" s="61">
        <v>37</v>
      </c>
      <c r="AM2" s="61">
        <v>38</v>
      </c>
      <c r="AN2" s="61">
        <v>39</v>
      </c>
      <c r="AO2" s="61">
        <v>40</v>
      </c>
      <c r="AP2" s="61">
        <v>41</v>
      </c>
      <c r="AQ2" s="61">
        <v>42</v>
      </c>
      <c r="AR2" s="61">
        <v>43</v>
      </c>
      <c r="AS2" s="61">
        <v>44</v>
      </c>
      <c r="AT2" s="61">
        <v>45</v>
      </c>
      <c r="AU2" s="61">
        <v>46</v>
      </c>
      <c r="AV2" s="61">
        <v>47</v>
      </c>
      <c r="AW2" s="61">
        <v>48</v>
      </c>
      <c r="AX2" s="61">
        <v>49</v>
      </c>
      <c r="AY2" s="61">
        <v>50</v>
      </c>
      <c r="AZ2" s="61">
        <v>51</v>
      </c>
      <c r="BA2" s="61">
        <v>52</v>
      </c>
      <c r="BB2" s="61">
        <v>53</v>
      </c>
      <c r="BC2" s="61">
        <v>54</v>
      </c>
      <c r="BD2" s="61">
        <v>55</v>
      </c>
      <c r="BE2" s="61">
        <v>56</v>
      </c>
      <c r="BF2" s="61">
        <v>57</v>
      </c>
      <c r="BG2" s="61">
        <v>58</v>
      </c>
      <c r="BH2" s="61">
        <v>59</v>
      </c>
      <c r="BI2" s="61">
        <v>60</v>
      </c>
    </row>
    <row r="3" spans="1:63" x14ac:dyDescent="0.3">
      <c r="A3" s="62" t="s">
        <v>92</v>
      </c>
      <c r="B3" s="63">
        <v>43466</v>
      </c>
      <c r="C3" s="63">
        <v>43497</v>
      </c>
      <c r="D3" s="63">
        <v>43525</v>
      </c>
      <c r="E3" s="63">
        <v>43556</v>
      </c>
      <c r="F3" s="63">
        <v>43586</v>
      </c>
      <c r="G3" s="63">
        <v>43617</v>
      </c>
      <c r="H3" s="63">
        <v>43647</v>
      </c>
      <c r="I3" s="63">
        <v>43678</v>
      </c>
      <c r="J3" s="63">
        <v>43709</v>
      </c>
      <c r="K3" s="63">
        <v>43739</v>
      </c>
      <c r="L3" s="63">
        <v>43770</v>
      </c>
      <c r="M3" s="63">
        <v>43800</v>
      </c>
      <c r="N3" s="63">
        <v>43831</v>
      </c>
      <c r="O3" s="63">
        <v>43862</v>
      </c>
      <c r="P3" s="63">
        <v>43891</v>
      </c>
      <c r="Q3" s="63">
        <v>43922</v>
      </c>
      <c r="R3" s="63">
        <v>43952</v>
      </c>
      <c r="S3" s="63">
        <v>43983</v>
      </c>
      <c r="T3" s="63">
        <v>44013</v>
      </c>
      <c r="U3" s="63">
        <v>44044</v>
      </c>
      <c r="V3" s="63">
        <v>44075</v>
      </c>
      <c r="W3" s="63">
        <v>44105</v>
      </c>
      <c r="X3" s="63">
        <v>44136</v>
      </c>
      <c r="Y3" s="63">
        <v>44166</v>
      </c>
      <c r="Z3" s="63">
        <v>44197</v>
      </c>
      <c r="AA3" s="63">
        <v>44228</v>
      </c>
      <c r="AB3" s="63">
        <v>44256</v>
      </c>
      <c r="AC3" s="63">
        <v>44287</v>
      </c>
      <c r="AD3" s="63">
        <v>44317</v>
      </c>
      <c r="AE3" s="63">
        <v>44348</v>
      </c>
      <c r="AF3" s="63">
        <v>44378</v>
      </c>
      <c r="AG3" s="63">
        <v>44409</v>
      </c>
      <c r="AH3" s="63">
        <v>44440</v>
      </c>
      <c r="AI3" s="63">
        <v>44470</v>
      </c>
      <c r="AJ3" s="63">
        <v>44501</v>
      </c>
      <c r="AK3" s="63">
        <v>44531</v>
      </c>
      <c r="AL3" s="63">
        <v>44562</v>
      </c>
      <c r="AM3" s="63">
        <v>44593</v>
      </c>
      <c r="AN3" s="63">
        <v>44621</v>
      </c>
      <c r="AO3" s="63">
        <v>44652</v>
      </c>
      <c r="AP3" s="63">
        <v>44682</v>
      </c>
      <c r="AQ3" s="63">
        <v>44713</v>
      </c>
      <c r="AR3" s="63">
        <v>44743</v>
      </c>
      <c r="AS3" s="63">
        <v>44774</v>
      </c>
      <c r="AT3" s="63">
        <v>44805</v>
      </c>
      <c r="AU3" s="63">
        <v>44835</v>
      </c>
      <c r="AV3" s="63">
        <v>44866</v>
      </c>
      <c r="AW3" s="63">
        <v>44896</v>
      </c>
      <c r="AX3" s="63">
        <v>44927</v>
      </c>
      <c r="AY3" s="63">
        <v>44958</v>
      </c>
      <c r="AZ3" s="63">
        <v>44986</v>
      </c>
      <c r="BA3" s="63">
        <v>45017</v>
      </c>
      <c r="BB3" s="63">
        <v>45047</v>
      </c>
      <c r="BC3" s="63">
        <v>45078</v>
      </c>
      <c r="BD3" s="63">
        <v>45108</v>
      </c>
      <c r="BE3" s="63">
        <v>45139</v>
      </c>
      <c r="BF3" s="63">
        <v>45170</v>
      </c>
      <c r="BG3" s="63">
        <v>45200</v>
      </c>
      <c r="BH3" s="63">
        <v>45231</v>
      </c>
      <c r="BI3" s="63">
        <v>45261</v>
      </c>
    </row>
    <row r="4" spans="1:63" s="20" customFormat="1" x14ac:dyDescent="0.3">
      <c r="A4" s="20" t="s">
        <v>99</v>
      </c>
      <c r="B4" s="8">
        <f>+'Monthly P&amp;L'!E4</f>
        <v>0</v>
      </c>
      <c r="C4" s="8">
        <f>+'Monthly P&amp;L'!F4</f>
        <v>0</v>
      </c>
      <c r="D4" s="8">
        <f>+'Monthly P&amp;L'!G4</f>
        <v>0</v>
      </c>
      <c r="E4" s="8">
        <f>+'Monthly P&amp;L'!H4</f>
        <v>0</v>
      </c>
      <c r="F4" s="8">
        <f>+'Monthly P&amp;L'!I4</f>
        <v>0</v>
      </c>
      <c r="G4" s="8">
        <f>+'Monthly P&amp;L'!G4</f>
        <v>0</v>
      </c>
      <c r="H4" s="8">
        <f>+'Monthly P&amp;L'!H4</f>
        <v>0</v>
      </c>
      <c r="I4" s="8">
        <f>+'Monthly P&amp;L'!I4</f>
        <v>0</v>
      </c>
      <c r="J4" s="8">
        <f>+'Monthly P&amp;L'!J4</f>
        <v>0</v>
      </c>
      <c r="K4" s="8">
        <f>+'Monthly P&amp;L'!K4</f>
        <v>0</v>
      </c>
      <c r="L4" s="8">
        <f>+'Monthly P&amp;L'!L4</f>
        <v>782.06611570247946</v>
      </c>
      <c r="M4" s="8">
        <f>+'Monthly P&amp;L'!M4</f>
        <v>2737.231404958678</v>
      </c>
      <c r="N4" s="8">
        <f>+'Monthly P&amp;L'!N4</f>
        <v>5865.4958677685954</v>
      </c>
      <c r="O4" s="8">
        <f>+'Monthly P&amp;L'!O4</f>
        <v>10323.272727272728</v>
      </c>
      <c r="P4" s="8">
        <f>+'Monthly P&amp;L'!P4</f>
        <v>16188.768595041325</v>
      </c>
      <c r="Q4" s="8">
        <f>+'Monthly P&amp;L'!Q4</f>
        <v>23618.39669421488</v>
      </c>
      <c r="R4" s="8">
        <f>+'Monthly P&amp;L'!R4</f>
        <v>32690.36363636364</v>
      </c>
      <c r="S4" s="8">
        <f>+'Monthly P&amp;L'!S4</f>
        <v>42544.396694214884</v>
      </c>
      <c r="T4" s="8">
        <f>+'Monthly P&amp;L'!T4</f>
        <v>53336.909090909096</v>
      </c>
      <c r="U4" s="8">
        <f>+'Monthly P&amp;L'!U4</f>
        <v>65224.314049586785</v>
      </c>
      <c r="V4" s="8">
        <f>+'Monthly P&amp;L'!V4</f>
        <v>78832.264462809922</v>
      </c>
      <c r="W4" s="8">
        <f>+'Monthly P&amp;L'!W4</f>
        <v>94864.619834710757</v>
      </c>
      <c r="X4" s="8">
        <f>+'Monthly P&amp;L'!X4</f>
        <v>113243.17355371903</v>
      </c>
      <c r="Y4" s="8">
        <f>+'Monthly P&amp;L'!Y4</f>
        <v>134124.33884297524</v>
      </c>
      <c r="Z4" s="8">
        <f>+'Monthly P&amp;L'!Z4</f>
        <v>157429.90909090912</v>
      </c>
      <c r="AA4" s="8">
        <f>+'Monthly P&amp;L'!AA4</f>
        <v>183316.29752066117</v>
      </c>
      <c r="AB4" s="8">
        <f>+'Monthly P&amp;L'!AB4</f>
        <v>213113.01652892565</v>
      </c>
      <c r="AC4" s="8">
        <f>+'Monthly P&amp;L'!AC4</f>
        <v>246429.03305785128</v>
      </c>
      <c r="AD4" s="8">
        <f>+'Monthly P&amp;L'!AD4</f>
        <v>282795.10743801657</v>
      </c>
      <c r="AE4" s="8">
        <f>+'Monthly P&amp;L'!AE4</f>
        <v>322524.0661157025</v>
      </c>
      <c r="AF4" s="8">
        <f>+'Monthly P&amp;L'!AF4</f>
        <v>365850.5289256199</v>
      </c>
      <c r="AG4" s="8">
        <f>+'Monthly P&amp;L'!AG4</f>
        <v>412461.66942148766</v>
      </c>
      <c r="AH4" s="8">
        <f>+'Monthly P&amp;L'!AH4</f>
        <v>462357.48760330584</v>
      </c>
      <c r="AI4" s="8">
        <f>+'Monthly P&amp;L'!AI4</f>
        <v>514130.26446281001</v>
      </c>
      <c r="AJ4" s="8">
        <f>+'Monthly P&amp;L'!AJ4</f>
        <v>568249.23966942157</v>
      </c>
      <c r="AK4" s="8">
        <f>+'Monthly P&amp;L'!AK4</f>
        <v>624714.41322314052</v>
      </c>
      <c r="AL4" s="8">
        <f>+'Monthly P&amp;L'!AL4</f>
        <v>683056.54545454553</v>
      </c>
      <c r="AM4" s="8">
        <f>+'Monthly P&amp;L'!AM4</f>
        <v>742806.39669421501</v>
      </c>
      <c r="AN4" s="8">
        <f>+'Monthly P&amp;L'!AN4</f>
        <v>803963.96694214887</v>
      </c>
      <c r="AO4" s="8">
        <f>+'Monthly P&amp;L'!AO4</f>
        <v>866529.2561983472</v>
      </c>
      <c r="AP4" s="8">
        <f>+'Monthly P&amp;L'!AP4</f>
        <v>929094.54545454553</v>
      </c>
      <c r="AQ4" s="8">
        <f>+'Monthly P&amp;L'!AQ4</f>
        <v>991659.83471074398</v>
      </c>
      <c r="AR4" s="8">
        <f>+'Monthly P&amp;L'!AR4</f>
        <v>1054225.1239669423</v>
      </c>
      <c r="AS4" s="8">
        <f>+'Monthly P&amp;L'!AS4</f>
        <v>1116790.4132231406</v>
      </c>
      <c r="AT4" s="8">
        <f>+'Monthly P&amp;L'!AT4</f>
        <v>1179355.702479339</v>
      </c>
      <c r="AU4" s="8">
        <f>+'Monthly P&amp;L'!AU4</f>
        <v>1241920.9917355373</v>
      </c>
      <c r="AV4" s="8">
        <f>+'Monthly P&amp;L'!AV4</f>
        <v>1304486.2809917356</v>
      </c>
      <c r="AW4" s="8">
        <f>+'Monthly P&amp;L'!AW4</f>
        <v>1367051.570247934</v>
      </c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</row>
    <row r="5" spans="1:63" s="20" customFormat="1" x14ac:dyDescent="0.3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</row>
    <row r="6" spans="1:63" x14ac:dyDescent="0.3">
      <c r="A6" s="20" t="s">
        <v>91</v>
      </c>
      <c r="B6" s="8">
        <f>'Monthly P&amp;L'!B15</f>
        <v>10000</v>
      </c>
      <c r="C6" s="8">
        <f>'Monthly P&amp;L'!C15</f>
        <v>0</v>
      </c>
      <c r="D6" s="8">
        <f>'Monthly P&amp;L'!D15</f>
        <v>30000</v>
      </c>
      <c r="E6" s="8">
        <f>'Monthly P&amp;L'!E15</f>
        <v>0</v>
      </c>
      <c r="F6" s="8">
        <f>'Monthly P&amp;L'!F15</f>
        <v>0</v>
      </c>
      <c r="G6" s="8">
        <f>'Monthly P&amp;L'!G15</f>
        <v>65000</v>
      </c>
      <c r="H6" s="8">
        <f>'Monthly P&amp;L'!H15</f>
        <v>0</v>
      </c>
      <c r="I6" s="8">
        <f>'Monthly P&amp;L'!I15</f>
        <v>0</v>
      </c>
      <c r="J6" s="8">
        <f>'Monthly P&amp;L'!J15</f>
        <v>5000</v>
      </c>
      <c r="K6" s="8">
        <f>'Monthly P&amp;L'!K15</f>
        <v>0</v>
      </c>
      <c r="L6" s="8">
        <f>'Monthly P&amp;L'!L15</f>
        <v>1191.0330578512398</v>
      </c>
      <c r="M6" s="8">
        <f>'Monthly P&amp;L'!M15</f>
        <v>2168.6157024793392</v>
      </c>
      <c r="N6" s="8">
        <f>'Monthly P&amp;L'!N15</f>
        <v>3732.7479338842977</v>
      </c>
      <c r="O6" s="8">
        <f>'Monthly P&amp;L'!O15</f>
        <v>6121.636363636364</v>
      </c>
      <c r="P6" s="8">
        <f>'Monthly P&amp;L'!P15</f>
        <v>9054.3842975206626</v>
      </c>
      <c r="Q6" s="8">
        <f>'Monthly P&amp;L'!Q15</f>
        <v>12929.19834710744</v>
      </c>
      <c r="R6" s="8">
        <f>'Monthly P&amp;L'!R15</f>
        <v>17465.18181818182</v>
      </c>
      <c r="S6" s="8">
        <f>'Monthly P&amp;L'!S15</f>
        <v>22712.198347107442</v>
      </c>
      <c r="T6" s="8">
        <f>'Monthly P&amp;L'!T15</f>
        <v>58108.454545454544</v>
      </c>
      <c r="U6" s="8">
        <f>'Monthly P&amp;L'!U15</f>
        <v>34212.157024793392</v>
      </c>
      <c r="V6" s="8">
        <f>'Monthly P&amp;L'!V15</f>
        <v>71816.132231404961</v>
      </c>
      <c r="W6" s="8">
        <f>'Monthly P&amp;L'!W15</f>
        <v>95152.309917355378</v>
      </c>
      <c r="X6" s="8">
        <f>'Monthly P&amp;L'!X15</f>
        <v>59341.586776859513</v>
      </c>
      <c r="Y6" s="8">
        <f>'Monthly P&amp;L'!Y15</f>
        <v>69942.169421487619</v>
      </c>
      <c r="Z6" s="8">
        <f>'Monthly P&amp;L'!Z15</f>
        <v>81914.954545454559</v>
      </c>
      <c r="AA6" s="8">
        <f>'Monthly P&amp;L'!AA15</f>
        <v>94858.148760330587</v>
      </c>
      <c r="AB6" s="8">
        <f>'Monthly P&amp;L'!AB15</f>
        <v>178856.50826446281</v>
      </c>
      <c r="AC6" s="8">
        <f>'Monthly P&amp;L'!AC15</f>
        <v>128014.51652892564</v>
      </c>
      <c r="AD6" s="8">
        <f>'Monthly P&amp;L'!AD15</f>
        <v>146197.55371900828</v>
      </c>
      <c r="AE6" s="8">
        <f>'Monthly P&amp;L'!AE15</f>
        <v>166382.03305785125</v>
      </c>
      <c r="AF6" s="8">
        <f>'Monthly P&amp;L'!AF15</f>
        <v>188365.26446280995</v>
      </c>
      <c r="AG6" s="8">
        <f>'Monthly P&amp;L'!AG15</f>
        <v>324170.83471074386</v>
      </c>
      <c r="AH6" s="8">
        <f>'Monthly P&amp;L'!AH15</f>
        <v>236618.74380165292</v>
      </c>
      <c r="AI6" s="8">
        <f>'Monthly P&amp;L'!AI15</f>
        <v>263465.132231405</v>
      </c>
      <c r="AJ6" s="8">
        <f>'Monthly P&amp;L'!AJ15</f>
        <v>290524.61983471079</v>
      </c>
      <c r="AK6" s="8">
        <f>'Monthly P&amp;L'!AK15</f>
        <v>318757.20661157026</v>
      </c>
      <c r="AL6" s="8">
        <f>'Monthly P&amp;L'!AL15</f>
        <v>347928.27272727276</v>
      </c>
      <c r="AM6" s="8">
        <f>'Monthly P&amp;L'!AM15</f>
        <v>377803.19834710751</v>
      </c>
      <c r="AN6" s="8">
        <f>'Monthly P&amp;L'!AN15</f>
        <v>408381.98347107443</v>
      </c>
      <c r="AO6" s="8">
        <f>'Monthly P&amp;L'!AO15</f>
        <v>439664.6280991736</v>
      </c>
      <c r="AP6" s="8">
        <f>'Monthly P&amp;L'!AP15</f>
        <v>470947.27272727276</v>
      </c>
      <c r="AQ6" s="8">
        <f>'Monthly P&amp;L'!AQ15</f>
        <v>502229.91735537199</v>
      </c>
      <c r="AR6" s="8">
        <f>'Monthly P&amp;L'!AR15</f>
        <v>533512.56198347115</v>
      </c>
      <c r="AS6" s="8">
        <f>'Monthly P&amp;L'!AS15</f>
        <v>564795.20661157032</v>
      </c>
      <c r="AT6" s="8">
        <f>'Monthly P&amp;L'!AT15</f>
        <v>596077.85123966949</v>
      </c>
      <c r="AU6" s="8">
        <f>'Monthly P&amp;L'!AU15</f>
        <v>627360.49586776865</v>
      </c>
      <c r="AV6" s="8">
        <f>'Monthly P&amp;L'!AV15</f>
        <v>658643.14049586782</v>
      </c>
      <c r="AW6" s="8">
        <f>'Monthly P&amp;L'!AW15</f>
        <v>689925.78512396698</v>
      </c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3" x14ac:dyDescent="0.3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3" s="20" customFormat="1" x14ac:dyDescent="0.3">
      <c r="A8" s="21" t="s">
        <v>94</v>
      </c>
      <c r="B8" s="8">
        <f t="shared" ref="B8:AW8" si="0">SUM(B9:B12)</f>
        <v>34697.4</v>
      </c>
      <c r="C8" s="8">
        <f t="shared" si="0"/>
        <v>50832.4</v>
      </c>
      <c r="D8" s="8">
        <f t="shared" si="0"/>
        <v>9447.4</v>
      </c>
      <c r="E8" s="8">
        <f t="shared" si="0"/>
        <v>16097.4</v>
      </c>
      <c r="F8" s="8">
        <f t="shared" si="0"/>
        <v>9597.4</v>
      </c>
      <c r="G8" s="8">
        <f t="shared" si="0"/>
        <v>9597.4</v>
      </c>
      <c r="H8" s="8">
        <f t="shared" si="0"/>
        <v>9597.4</v>
      </c>
      <c r="I8" s="8">
        <f t="shared" si="0"/>
        <v>10097.4</v>
      </c>
      <c r="J8" s="8">
        <f t="shared" si="0"/>
        <v>9597.4</v>
      </c>
      <c r="K8" s="8">
        <f t="shared" si="0"/>
        <v>9137.4</v>
      </c>
      <c r="L8" s="8">
        <f t="shared" si="0"/>
        <v>17186.879166666666</v>
      </c>
      <c r="M8" s="8">
        <f t="shared" si="0"/>
        <v>14186.879166666668</v>
      </c>
      <c r="N8" s="8">
        <f t="shared" si="0"/>
        <v>39787.842708333337</v>
      </c>
      <c r="O8" s="8">
        <f t="shared" si="0"/>
        <v>26338.363541666666</v>
      </c>
      <c r="P8" s="8">
        <f t="shared" si="0"/>
        <v>30238.363541666669</v>
      </c>
      <c r="Q8" s="8">
        <f t="shared" si="0"/>
        <v>28338.363541666666</v>
      </c>
      <c r="R8" s="8">
        <f t="shared" si="0"/>
        <v>21338.363541666666</v>
      </c>
      <c r="S8" s="8">
        <f t="shared" si="0"/>
        <v>21338.363541666666</v>
      </c>
      <c r="T8" s="8">
        <f t="shared" si="0"/>
        <v>41941.254166666673</v>
      </c>
      <c r="U8" s="8">
        <f t="shared" si="0"/>
        <v>41941.254166666673</v>
      </c>
      <c r="V8" s="8">
        <f t="shared" si="0"/>
        <v>115645.10833333334</v>
      </c>
      <c r="W8" s="8">
        <f t="shared" si="0"/>
        <v>66045.108333333337</v>
      </c>
      <c r="X8" s="8">
        <f t="shared" si="0"/>
        <v>66045.108333333337</v>
      </c>
      <c r="Y8" s="8">
        <f t="shared" si="0"/>
        <v>65945.108333333337</v>
      </c>
      <c r="Z8" s="8">
        <f t="shared" si="0"/>
        <v>126662.39733987604</v>
      </c>
      <c r="AA8" s="8">
        <f t="shared" si="0"/>
        <v>70540.120256542694</v>
      </c>
      <c r="AB8" s="8">
        <f t="shared" si="0"/>
        <v>70540.120256542694</v>
      </c>
      <c r="AC8" s="8">
        <f t="shared" si="0"/>
        <v>70540.120256542694</v>
      </c>
      <c r="AD8" s="8">
        <f t="shared" si="0"/>
        <v>70540.120256542694</v>
      </c>
      <c r="AE8" s="8">
        <f t="shared" si="0"/>
        <v>70540.120256542694</v>
      </c>
      <c r="AF8" s="8">
        <f t="shared" si="0"/>
        <v>70540.120256542694</v>
      </c>
      <c r="AG8" s="8">
        <f t="shared" si="0"/>
        <v>70540.120256542694</v>
      </c>
      <c r="AH8" s="8">
        <f t="shared" si="0"/>
        <v>120540.12025654269</v>
      </c>
      <c r="AI8" s="8">
        <f t="shared" si="0"/>
        <v>70540.120256542694</v>
      </c>
      <c r="AJ8" s="8">
        <f t="shared" si="0"/>
        <v>70540.120256542694</v>
      </c>
      <c r="AK8" s="8">
        <f t="shared" si="0"/>
        <v>70540.120256542694</v>
      </c>
      <c r="AL8" s="8">
        <f t="shared" si="0"/>
        <v>162394.56613960807</v>
      </c>
      <c r="AM8" s="8">
        <f t="shared" si="0"/>
        <v>82394.566139608083</v>
      </c>
      <c r="AN8" s="8">
        <f t="shared" si="0"/>
        <v>82394.566139608083</v>
      </c>
      <c r="AO8" s="8">
        <f t="shared" si="0"/>
        <v>82394.566139608083</v>
      </c>
      <c r="AP8" s="8">
        <f t="shared" si="0"/>
        <v>82394.566139608083</v>
      </c>
      <c r="AQ8" s="8">
        <f t="shared" si="0"/>
        <v>82394.566139608083</v>
      </c>
      <c r="AR8" s="8">
        <f t="shared" si="0"/>
        <v>82394.566139608083</v>
      </c>
      <c r="AS8" s="8">
        <f t="shared" si="0"/>
        <v>162394.56613960807</v>
      </c>
      <c r="AT8" s="8">
        <f t="shared" si="0"/>
        <v>82394.566139608083</v>
      </c>
      <c r="AU8" s="8">
        <f t="shared" si="0"/>
        <v>82394.566139608083</v>
      </c>
      <c r="AV8" s="8">
        <f t="shared" si="0"/>
        <v>82394.566139608083</v>
      </c>
      <c r="AW8" s="8">
        <f t="shared" si="0"/>
        <v>82394.566139608083</v>
      </c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</row>
    <row r="9" spans="1:63" x14ac:dyDescent="0.3">
      <c r="A9" s="53" t="s">
        <v>96</v>
      </c>
      <c r="B9" s="6">
        <f>+'Monthly P&amp;L'!B39+'Monthly P&amp;L'!B24+'Monthly P&amp;L'!B66</f>
        <v>29297.4</v>
      </c>
      <c r="C9" s="6">
        <f>+'Monthly P&amp;L'!C39+'Monthly P&amp;L'!C24+'Monthly P&amp;L'!C66</f>
        <v>45432.4</v>
      </c>
      <c r="D9" s="6">
        <f>+'Monthly P&amp;L'!D39+'Monthly P&amp;L'!D24+'Monthly P&amp;L'!D66</f>
        <v>4047.4</v>
      </c>
      <c r="E9" s="6">
        <f>+'Monthly P&amp;L'!E39+'Monthly P&amp;L'!E24+'Monthly P&amp;L'!E66</f>
        <v>10697.4</v>
      </c>
      <c r="F9" s="6">
        <f>+'Monthly P&amp;L'!F39+'Monthly P&amp;L'!F24+'Monthly P&amp;L'!F66</f>
        <v>4197.3999999999996</v>
      </c>
      <c r="G9" s="6">
        <f>+'Monthly P&amp;L'!G39+'Monthly P&amp;L'!G24+'Monthly P&amp;L'!G66</f>
        <v>4197.3999999999996</v>
      </c>
      <c r="H9" s="6">
        <f>+'Monthly P&amp;L'!H39+'Monthly P&amp;L'!H24+'Monthly P&amp;L'!H66</f>
        <v>4197.3999999999996</v>
      </c>
      <c r="I9" s="6">
        <f>+'Monthly P&amp;L'!I39+'Monthly P&amp;L'!I24+'Monthly P&amp;L'!I66</f>
        <v>4697.3999999999996</v>
      </c>
      <c r="J9" s="6">
        <f>+'Monthly P&amp;L'!J39+'Monthly P&amp;L'!J24+'Monthly P&amp;L'!J66</f>
        <v>4197.3999999999996</v>
      </c>
      <c r="K9" s="6">
        <f>+'Monthly P&amp;L'!K39+'Monthly P&amp;L'!K24+'Monthly P&amp;L'!K66</f>
        <v>3737.4</v>
      </c>
      <c r="L9" s="6">
        <f>+'Monthly P&amp;L'!L39+'Monthly P&amp;L'!L24+'Monthly P&amp;L'!L66</f>
        <v>6737.4</v>
      </c>
      <c r="M9" s="6">
        <f>+'Monthly P&amp;L'!M39+'Monthly P&amp;L'!M24+'Monthly P&amp;L'!M66</f>
        <v>3737.4</v>
      </c>
      <c r="N9" s="6">
        <f>+'Monthly P&amp;L'!N39+'Monthly P&amp;L'!N24+'Monthly P&amp;L'!N66</f>
        <v>25537.4</v>
      </c>
      <c r="O9" s="6">
        <f>+'Monthly P&amp;L'!O39+'Monthly P&amp;L'!O24+'Monthly P&amp;L'!O66</f>
        <v>13137.4</v>
      </c>
      <c r="P9" s="6">
        <f>+'Monthly P&amp;L'!P39+'Monthly P&amp;L'!P24+'Monthly P&amp;L'!P66</f>
        <v>17037.400000000001</v>
      </c>
      <c r="Q9" s="6">
        <f>+'Monthly P&amp;L'!Q39+'Monthly P&amp;L'!Q24+'Monthly P&amp;L'!Q66</f>
        <v>15137.4</v>
      </c>
      <c r="R9" s="6">
        <f>+'Monthly P&amp;L'!R39+'Monthly P&amp;L'!R24+'Monthly P&amp;L'!R66</f>
        <v>8137.4</v>
      </c>
      <c r="S9" s="6">
        <f>+'Monthly P&amp;L'!S39+'Monthly P&amp;L'!S24+'Monthly P&amp;L'!S66</f>
        <v>8137.4</v>
      </c>
      <c r="T9" s="6">
        <f>+'Monthly P&amp;L'!T39+'Monthly P&amp;L'!T24+'Monthly P&amp;L'!T66</f>
        <v>8137.4</v>
      </c>
      <c r="U9" s="6">
        <f>+'Monthly P&amp;L'!U39+'Monthly P&amp;L'!U24+'Monthly P&amp;L'!U66</f>
        <v>8137.4</v>
      </c>
      <c r="V9" s="6">
        <f>+'Monthly P&amp;L'!V39+'Monthly P&amp;L'!V24+'Monthly P&amp;L'!V66</f>
        <v>58537.4</v>
      </c>
      <c r="W9" s="6">
        <f>+'Monthly P&amp;L'!W39+'Monthly P&amp;L'!W24+'Monthly P&amp;L'!W66</f>
        <v>8937.4</v>
      </c>
      <c r="X9" s="6">
        <f>+'Monthly P&amp;L'!X39+'Monthly P&amp;L'!X24+'Monthly P&amp;L'!X66</f>
        <v>8937.4</v>
      </c>
      <c r="Y9" s="6">
        <f>+'Monthly P&amp;L'!Y39+'Monthly P&amp;L'!Y24+'Monthly P&amp;L'!Y66</f>
        <v>8837.4</v>
      </c>
      <c r="Z9" s="6">
        <f>+'Monthly P&amp;L'!Z39+'Monthly P&amp;L'!Z24+'Monthly P&amp;L'!Z66</f>
        <v>60087.4</v>
      </c>
      <c r="AA9" s="6">
        <f>+'Monthly P&amp;L'!AA39+'Monthly P&amp;L'!AA24+'Monthly P&amp;L'!AA66</f>
        <v>10087.4</v>
      </c>
      <c r="AB9" s="6">
        <f>+'Monthly P&amp;L'!AB39+'Monthly P&amp;L'!AB24+'Monthly P&amp;L'!AB66</f>
        <v>10087.4</v>
      </c>
      <c r="AC9" s="6">
        <f>+'Monthly P&amp;L'!AC39+'Monthly P&amp;L'!AC24+'Monthly P&amp;L'!AC66</f>
        <v>10087.4</v>
      </c>
      <c r="AD9" s="6">
        <f>+'Monthly P&amp;L'!AD39+'Monthly P&amp;L'!AD24+'Monthly P&amp;L'!AD66</f>
        <v>10087.4</v>
      </c>
      <c r="AE9" s="6">
        <f>+'Monthly P&amp;L'!AE39+'Monthly P&amp;L'!AE24+'Monthly P&amp;L'!AE66</f>
        <v>10087.4</v>
      </c>
      <c r="AF9" s="6">
        <f>+'Monthly P&amp;L'!AF39+'Monthly P&amp;L'!AF24+'Monthly P&amp;L'!AF66</f>
        <v>10087.4</v>
      </c>
      <c r="AG9" s="6">
        <f>+'Monthly P&amp;L'!AG39+'Monthly P&amp;L'!AG24+'Monthly P&amp;L'!AG66</f>
        <v>10087.4</v>
      </c>
      <c r="AH9" s="6">
        <f>+'Monthly P&amp;L'!AH39+'Monthly P&amp;L'!AH24+'Monthly P&amp;L'!AH66</f>
        <v>60087.4</v>
      </c>
      <c r="AI9" s="6">
        <f>+'Monthly P&amp;L'!AI39+'Monthly P&amp;L'!AI24+'Monthly P&amp;L'!AI66</f>
        <v>10087.4</v>
      </c>
      <c r="AJ9" s="6">
        <f>+'Monthly P&amp;L'!AJ39+'Monthly P&amp;L'!AJ24+'Monthly P&amp;L'!AJ66</f>
        <v>10087.4</v>
      </c>
      <c r="AK9" s="6">
        <f>+'Monthly P&amp;L'!AK39+'Monthly P&amp;L'!AK24+'Monthly P&amp;L'!AK66</f>
        <v>10087.4</v>
      </c>
      <c r="AL9" s="6">
        <f>+'Monthly P&amp;L'!AL39+'Monthly P&amp;L'!AL24+'Monthly P&amp;L'!AL66</f>
        <v>90787.4</v>
      </c>
      <c r="AM9" s="6">
        <f>+'Monthly P&amp;L'!AM39+'Monthly P&amp;L'!AM24+'Monthly P&amp;L'!AM66</f>
        <v>10787.4</v>
      </c>
      <c r="AN9" s="6">
        <f>+'Monthly P&amp;L'!AN39+'Monthly P&amp;L'!AN24+'Monthly P&amp;L'!AN66</f>
        <v>10787.4</v>
      </c>
      <c r="AO9" s="6">
        <f>+'Monthly P&amp;L'!AO39+'Monthly P&amp;L'!AO24+'Monthly P&amp;L'!AO66</f>
        <v>10787.4</v>
      </c>
      <c r="AP9" s="6">
        <f>+'Monthly P&amp;L'!AP39+'Monthly P&amp;L'!AP24+'Monthly P&amp;L'!AP66</f>
        <v>10787.4</v>
      </c>
      <c r="AQ9" s="6">
        <f>+'Monthly P&amp;L'!AQ39+'Monthly P&amp;L'!AQ24+'Monthly P&amp;L'!AQ66</f>
        <v>10787.4</v>
      </c>
      <c r="AR9" s="6">
        <f>+'Monthly P&amp;L'!AR39+'Monthly P&amp;L'!AR24+'Monthly P&amp;L'!AR66</f>
        <v>10787.4</v>
      </c>
      <c r="AS9" s="6">
        <f>+'Monthly P&amp;L'!AS39+'Monthly P&amp;L'!AS24+'Monthly P&amp;L'!AS66</f>
        <v>90787.4</v>
      </c>
      <c r="AT9" s="6">
        <f>+'Monthly P&amp;L'!AT39+'Monthly P&amp;L'!AT24+'Monthly P&amp;L'!AT66</f>
        <v>10787.4</v>
      </c>
      <c r="AU9" s="6">
        <f>+'Monthly P&amp;L'!AU39+'Monthly P&amp;L'!AU24+'Monthly P&amp;L'!AU66</f>
        <v>10787.4</v>
      </c>
      <c r="AV9" s="6">
        <f>+'Monthly P&amp;L'!AV39+'Monthly P&amp;L'!AV24+'Monthly P&amp;L'!AV66</f>
        <v>10787.4</v>
      </c>
      <c r="AW9" s="6">
        <f>+'Monthly P&amp;L'!AW39+'Monthly P&amp;L'!AW24+'Monthly P&amp;L'!AW66</f>
        <v>10787.4</v>
      </c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</row>
    <row r="10" spans="1:63" x14ac:dyDescent="0.3">
      <c r="A10" s="53" t="s">
        <v>79</v>
      </c>
      <c r="B10" s="6">
        <f>+'Monthly P&amp;L'!B53</f>
        <v>5400</v>
      </c>
      <c r="C10" s="6">
        <f>+'Monthly P&amp;L'!C53</f>
        <v>5400</v>
      </c>
      <c r="D10" s="6">
        <f>+'Monthly P&amp;L'!D53</f>
        <v>5400</v>
      </c>
      <c r="E10" s="6">
        <f>+'Monthly P&amp;L'!E53</f>
        <v>5400</v>
      </c>
      <c r="F10" s="6">
        <f>+'Monthly P&amp;L'!F53</f>
        <v>5400</v>
      </c>
      <c r="G10" s="6">
        <f>+'Monthly P&amp;L'!G53</f>
        <v>5400</v>
      </c>
      <c r="H10" s="6">
        <f>+'Monthly P&amp;L'!H53</f>
        <v>5400</v>
      </c>
      <c r="I10" s="6">
        <f>+'Monthly P&amp;L'!I53</f>
        <v>5400</v>
      </c>
      <c r="J10" s="6">
        <f>+'Monthly P&amp;L'!J53</f>
        <v>5400</v>
      </c>
      <c r="K10" s="6">
        <f>+'Monthly P&amp;L'!K53</f>
        <v>5400</v>
      </c>
      <c r="L10" s="6">
        <f>+'Monthly P&amp;L'!L53</f>
        <v>10449.479166666668</v>
      </c>
      <c r="M10" s="6">
        <f>+'Monthly P&amp;L'!M53</f>
        <v>10449.479166666668</v>
      </c>
      <c r="N10" s="6">
        <f>+'Monthly P&amp;L'!N53</f>
        <v>14250.442708333336</v>
      </c>
      <c r="O10" s="6">
        <f>+'Monthly P&amp;L'!O53</f>
        <v>13200.963541666668</v>
      </c>
      <c r="P10" s="6">
        <f>+'Monthly P&amp;L'!P53</f>
        <v>13200.963541666668</v>
      </c>
      <c r="Q10" s="6">
        <f>+'Monthly P&amp;L'!Q53</f>
        <v>13200.963541666668</v>
      </c>
      <c r="R10" s="6">
        <f>+'Monthly P&amp;L'!R53</f>
        <v>13200.963541666668</v>
      </c>
      <c r="S10" s="6">
        <f>+'Monthly P&amp;L'!S53</f>
        <v>13200.963541666668</v>
      </c>
      <c r="T10" s="6">
        <f>+'Monthly P&amp;L'!T53</f>
        <v>33803.854166666672</v>
      </c>
      <c r="U10" s="6">
        <f>+'Monthly P&amp;L'!U53</f>
        <v>33803.854166666672</v>
      </c>
      <c r="V10" s="6">
        <f>+'Monthly P&amp;L'!V53</f>
        <v>57107.708333333343</v>
      </c>
      <c r="W10" s="6">
        <f>+'Monthly P&amp;L'!W53</f>
        <v>57107.708333333343</v>
      </c>
      <c r="X10" s="6">
        <f>+'Monthly P&amp;L'!X53</f>
        <v>57107.708333333343</v>
      </c>
      <c r="Y10" s="6">
        <f>+'Monthly P&amp;L'!Y53</f>
        <v>57107.708333333343</v>
      </c>
      <c r="Z10" s="6">
        <f>+'Monthly P&amp;L'!Z53</f>
        <v>60456.823958333342</v>
      </c>
      <c r="AA10" s="6">
        <f>+'Monthly P&amp;L'!AA53</f>
        <v>54334.546875</v>
      </c>
      <c r="AB10" s="6">
        <f>+'Monthly P&amp;L'!AB53</f>
        <v>54334.546875</v>
      </c>
      <c r="AC10" s="6">
        <f>+'Monthly P&amp;L'!AC53</f>
        <v>54334.546875</v>
      </c>
      <c r="AD10" s="6">
        <f>+'Monthly P&amp;L'!AD53</f>
        <v>54334.546875</v>
      </c>
      <c r="AE10" s="6">
        <f>+'Monthly P&amp;L'!AE53</f>
        <v>54334.546875</v>
      </c>
      <c r="AF10" s="6">
        <f>+'Monthly P&amp;L'!AF53</f>
        <v>54334.546875</v>
      </c>
      <c r="AG10" s="6">
        <f>+'Monthly P&amp;L'!AG53</f>
        <v>54334.546875</v>
      </c>
      <c r="AH10" s="6">
        <f>+'Monthly P&amp;L'!AH53</f>
        <v>54334.546875</v>
      </c>
      <c r="AI10" s="6">
        <f>+'Monthly P&amp;L'!AI53</f>
        <v>54334.546875</v>
      </c>
      <c r="AJ10" s="6">
        <f>+'Monthly P&amp;L'!AJ53</f>
        <v>54334.546875</v>
      </c>
      <c r="AK10" s="6">
        <f>+'Monthly P&amp;L'!AK53</f>
        <v>54334.546875</v>
      </c>
      <c r="AL10" s="6">
        <f>+'Monthly P&amp;L'!AL53</f>
        <v>55649.583281250001</v>
      </c>
      <c r="AM10" s="6">
        <f>+'Monthly P&amp;L'!AM53</f>
        <v>55649.583281250001</v>
      </c>
      <c r="AN10" s="6">
        <f>+'Monthly P&amp;L'!AN53</f>
        <v>55649.583281250001</v>
      </c>
      <c r="AO10" s="6">
        <f>+'Monthly P&amp;L'!AO53</f>
        <v>55649.583281250001</v>
      </c>
      <c r="AP10" s="6">
        <f>+'Monthly P&amp;L'!AP53</f>
        <v>55649.583281250001</v>
      </c>
      <c r="AQ10" s="6">
        <f>+'Monthly P&amp;L'!AQ53</f>
        <v>55649.583281250001</v>
      </c>
      <c r="AR10" s="6">
        <f>+'Monthly P&amp;L'!AR53</f>
        <v>55649.583281250001</v>
      </c>
      <c r="AS10" s="6">
        <f>+'Monthly P&amp;L'!AS53</f>
        <v>55649.583281250001</v>
      </c>
      <c r="AT10" s="6">
        <f>+'Monthly P&amp;L'!AT53</f>
        <v>55649.583281250001</v>
      </c>
      <c r="AU10" s="6">
        <f>+'Monthly P&amp;L'!AU53</f>
        <v>55649.583281250001</v>
      </c>
      <c r="AV10" s="6">
        <f>+'Monthly P&amp;L'!AV53</f>
        <v>55649.583281250001</v>
      </c>
      <c r="AW10" s="6">
        <f>+'Monthly P&amp;L'!AW53</f>
        <v>55649.583281250001</v>
      </c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</row>
    <row r="11" spans="1:63" x14ac:dyDescent="0.3">
      <c r="A11" s="53" t="s">
        <v>141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</row>
    <row r="12" spans="1:63" s="7" customFormat="1" x14ac:dyDescent="0.3">
      <c r="A12" s="53" t="s">
        <v>95</v>
      </c>
      <c r="B12" s="6">
        <f>'Annual P&amp;L '!$B30/12</f>
        <v>0</v>
      </c>
      <c r="C12" s="6">
        <f>'Annual P&amp;L '!$B30/12</f>
        <v>0</v>
      </c>
      <c r="D12" s="6">
        <f>'Annual P&amp;L '!$B30/12</f>
        <v>0</v>
      </c>
      <c r="E12" s="6">
        <f>'Annual P&amp;L '!$B30/12</f>
        <v>0</v>
      </c>
      <c r="F12" s="6">
        <f>'Annual P&amp;L '!$B30/12</f>
        <v>0</v>
      </c>
      <c r="G12" s="6">
        <f>'Annual P&amp;L '!$B30/12</f>
        <v>0</v>
      </c>
      <c r="H12" s="6">
        <f>'Annual P&amp;L '!$B30/12</f>
        <v>0</v>
      </c>
      <c r="I12" s="6">
        <f>'Annual P&amp;L '!$B30/12</f>
        <v>0</v>
      </c>
      <c r="J12" s="6">
        <f>'Annual P&amp;L '!$B30/12</f>
        <v>0</v>
      </c>
      <c r="K12" s="6">
        <f>'Annual P&amp;L '!$B30/12</f>
        <v>0</v>
      </c>
      <c r="L12" s="6">
        <f>'Annual P&amp;L '!$B30/12</f>
        <v>0</v>
      </c>
      <c r="M12" s="6">
        <f>'Annual P&amp;L '!$B30/12</f>
        <v>0</v>
      </c>
      <c r="N12" s="6">
        <f>'Annual P&amp;L '!$C30/12</f>
        <v>0</v>
      </c>
      <c r="O12" s="6">
        <f>'Annual P&amp;L '!$C30/12</f>
        <v>0</v>
      </c>
      <c r="P12" s="6">
        <f>'Annual P&amp;L '!$C30/12</f>
        <v>0</v>
      </c>
      <c r="Q12" s="6">
        <f>'Annual P&amp;L '!$C30/12</f>
        <v>0</v>
      </c>
      <c r="R12" s="6">
        <f>'Annual P&amp;L '!$C30/12</f>
        <v>0</v>
      </c>
      <c r="S12" s="6">
        <f>'Annual P&amp;L '!$C30/12</f>
        <v>0</v>
      </c>
      <c r="T12" s="6">
        <f>'Annual P&amp;L '!$C30/12</f>
        <v>0</v>
      </c>
      <c r="U12" s="6">
        <f>'Annual P&amp;L '!$C30/12</f>
        <v>0</v>
      </c>
      <c r="V12" s="6">
        <f>'Annual P&amp;L '!$C30/12</f>
        <v>0</v>
      </c>
      <c r="W12" s="6">
        <f>'Annual P&amp;L '!$C30/12</f>
        <v>0</v>
      </c>
      <c r="X12" s="6">
        <f>'Annual P&amp;L '!$C30/12</f>
        <v>0</v>
      </c>
      <c r="Y12" s="6">
        <f>'Annual P&amp;L '!$C30/12</f>
        <v>0</v>
      </c>
      <c r="Z12" s="6">
        <f>'Annual P&amp;L '!$D30/12</f>
        <v>6118.1733815426924</v>
      </c>
      <c r="AA12" s="6">
        <f>'Annual P&amp;L '!$D30/12</f>
        <v>6118.1733815426924</v>
      </c>
      <c r="AB12" s="6">
        <f>'Annual P&amp;L '!$D30/12</f>
        <v>6118.1733815426924</v>
      </c>
      <c r="AC12" s="6">
        <f>'Annual P&amp;L '!$D30/12</f>
        <v>6118.1733815426924</v>
      </c>
      <c r="AD12" s="6">
        <f>'Annual P&amp;L '!$D30/12</f>
        <v>6118.1733815426924</v>
      </c>
      <c r="AE12" s="6">
        <f>'Annual P&amp;L '!$D30/12</f>
        <v>6118.1733815426924</v>
      </c>
      <c r="AF12" s="6">
        <f>'Annual P&amp;L '!$D30/12</f>
        <v>6118.1733815426924</v>
      </c>
      <c r="AG12" s="6">
        <f>'Annual P&amp;L '!$D30/12</f>
        <v>6118.1733815426924</v>
      </c>
      <c r="AH12" s="6">
        <f>'Annual P&amp;L '!$D30/12</f>
        <v>6118.1733815426924</v>
      </c>
      <c r="AI12" s="6">
        <f>'Annual P&amp;L '!$D30/12</f>
        <v>6118.1733815426924</v>
      </c>
      <c r="AJ12" s="6">
        <f>'Annual P&amp;L '!$D30/12</f>
        <v>6118.1733815426924</v>
      </c>
      <c r="AK12" s="6">
        <f>'Annual P&amp;L '!$D30/12</f>
        <v>6118.1733815426924</v>
      </c>
      <c r="AL12" s="6">
        <f>'Annual P&amp;L '!$E30/12</f>
        <v>15957.582858358086</v>
      </c>
      <c r="AM12" s="6">
        <f>'Annual P&amp;L '!$E30/12</f>
        <v>15957.582858358086</v>
      </c>
      <c r="AN12" s="6">
        <f>'Annual P&amp;L '!$E30/12</f>
        <v>15957.582858358086</v>
      </c>
      <c r="AO12" s="6">
        <f>'Annual P&amp;L '!$E30/12</f>
        <v>15957.582858358086</v>
      </c>
      <c r="AP12" s="6">
        <f>'Annual P&amp;L '!$E30/12</f>
        <v>15957.582858358086</v>
      </c>
      <c r="AQ12" s="6">
        <f>'Annual P&amp;L '!$E30/12</f>
        <v>15957.582858358086</v>
      </c>
      <c r="AR12" s="6">
        <f>'Annual P&amp;L '!$E30/12</f>
        <v>15957.582858358086</v>
      </c>
      <c r="AS12" s="6">
        <f>'Annual P&amp;L '!$E30/12</f>
        <v>15957.582858358086</v>
      </c>
      <c r="AT12" s="6">
        <f>'Annual P&amp;L '!$E30/12</f>
        <v>15957.582858358086</v>
      </c>
      <c r="AU12" s="6">
        <f>'Annual P&amp;L '!$E30/12</f>
        <v>15957.582858358086</v>
      </c>
      <c r="AV12" s="6">
        <f>'Annual P&amp;L '!$E30/12</f>
        <v>15957.582858358086</v>
      </c>
      <c r="AW12" s="6">
        <f>'Annual P&amp;L '!$E30/12</f>
        <v>15957.582858358086</v>
      </c>
      <c r="AX12" s="6">
        <f>'Annual P&amp;L '!$E30/12</f>
        <v>15957.582858358086</v>
      </c>
      <c r="AY12" s="6">
        <f>'Annual P&amp;L '!$E30/12</f>
        <v>15957.582858358086</v>
      </c>
      <c r="AZ12" s="6">
        <f>'Annual P&amp;L '!$E30/12</f>
        <v>15957.582858358086</v>
      </c>
      <c r="BA12" s="6">
        <f>'Annual P&amp;L '!$E30/12</f>
        <v>15957.582858358086</v>
      </c>
      <c r="BB12" s="6">
        <f>'Annual P&amp;L '!$E30/12</f>
        <v>15957.582858358086</v>
      </c>
      <c r="BC12" s="6">
        <f>'Annual P&amp;L '!$E30/12</f>
        <v>15957.582858358086</v>
      </c>
      <c r="BD12" s="6">
        <f>'Annual P&amp;L '!$E30/12</f>
        <v>15957.582858358086</v>
      </c>
      <c r="BE12" s="6">
        <f>'Annual P&amp;L '!$E30/12</f>
        <v>15957.582858358086</v>
      </c>
      <c r="BF12" s="6">
        <f>'Annual P&amp;L '!$E30/12</f>
        <v>15957.582858358086</v>
      </c>
      <c r="BG12" s="6">
        <f>'Annual P&amp;L '!$E30/12</f>
        <v>15957.582858358086</v>
      </c>
      <c r="BH12" s="6">
        <f>'Annual P&amp;L '!$E30/12</f>
        <v>15957.582858358086</v>
      </c>
      <c r="BI12" s="6">
        <f>'Annual P&amp;L '!$E30/12</f>
        <v>15957.582858358086</v>
      </c>
    </row>
    <row r="13" spans="1:63" s="7" customFormat="1" x14ac:dyDescent="0.3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</row>
    <row r="14" spans="1:63" s="29" customFormat="1" x14ac:dyDescent="0.3">
      <c r="A14" s="20" t="s">
        <v>89</v>
      </c>
      <c r="B14" s="8">
        <f>+B4-B8-B6</f>
        <v>-44697.4</v>
      </c>
      <c r="C14" s="8">
        <f t="shared" ref="C14:AW14" si="1">+C4-C8-C6</f>
        <v>-50832.4</v>
      </c>
      <c r="D14" s="8">
        <f t="shared" si="1"/>
        <v>-39447.4</v>
      </c>
      <c r="E14" s="8">
        <f t="shared" si="1"/>
        <v>-16097.4</v>
      </c>
      <c r="F14" s="8">
        <f t="shared" si="1"/>
        <v>-9597.4</v>
      </c>
      <c r="G14" s="8">
        <f t="shared" si="1"/>
        <v>-74597.399999999994</v>
      </c>
      <c r="H14" s="8">
        <f t="shared" si="1"/>
        <v>-9597.4</v>
      </c>
      <c r="I14" s="8">
        <f t="shared" si="1"/>
        <v>-10097.4</v>
      </c>
      <c r="J14" s="8">
        <f t="shared" si="1"/>
        <v>-14597.4</v>
      </c>
      <c r="K14" s="8">
        <f t="shared" si="1"/>
        <v>-9137.4</v>
      </c>
      <c r="L14" s="8">
        <f t="shared" si="1"/>
        <v>-17595.846108815425</v>
      </c>
      <c r="M14" s="8">
        <f t="shared" si="1"/>
        <v>-13618.263464187328</v>
      </c>
      <c r="N14" s="8">
        <f t="shared" si="1"/>
        <v>-37655.09477444904</v>
      </c>
      <c r="O14" s="8">
        <f t="shared" si="1"/>
        <v>-22136.727178030302</v>
      </c>
      <c r="P14" s="8">
        <f t="shared" si="1"/>
        <v>-23103.979244146009</v>
      </c>
      <c r="Q14" s="8">
        <f t="shared" si="1"/>
        <v>-17649.165194559224</v>
      </c>
      <c r="R14" s="8">
        <f t="shared" si="1"/>
        <v>-6113.1817234848459</v>
      </c>
      <c r="S14" s="8">
        <f t="shared" si="1"/>
        <v>-1506.1651945592239</v>
      </c>
      <c r="T14" s="8">
        <f t="shared" si="1"/>
        <v>-46712.799621212122</v>
      </c>
      <c r="U14" s="8">
        <f t="shared" si="1"/>
        <v>-10929.097141873281</v>
      </c>
      <c r="V14" s="8">
        <f t="shared" si="1"/>
        <v>-108628.97610192838</v>
      </c>
      <c r="W14" s="8">
        <f t="shared" si="1"/>
        <v>-66332.798415977959</v>
      </c>
      <c r="X14" s="8">
        <f t="shared" si="1"/>
        <v>-12143.521556473825</v>
      </c>
      <c r="Y14" s="8">
        <f t="shared" si="1"/>
        <v>-1762.9389118457184</v>
      </c>
      <c r="Z14" s="8">
        <f t="shared" si="1"/>
        <v>-51147.442794421484</v>
      </c>
      <c r="AA14" s="8">
        <f t="shared" si="1"/>
        <v>17918.028503787893</v>
      </c>
      <c r="AB14" s="8">
        <f t="shared" si="1"/>
        <v>-36283.611992079852</v>
      </c>
      <c r="AC14" s="8">
        <f t="shared" si="1"/>
        <v>47874.396272382946</v>
      </c>
      <c r="AD14" s="8">
        <f t="shared" si="1"/>
        <v>66057.433462465589</v>
      </c>
      <c r="AE14" s="8">
        <f t="shared" si="1"/>
        <v>85601.912801308557</v>
      </c>
      <c r="AF14" s="8">
        <f t="shared" si="1"/>
        <v>106945.14420626726</v>
      </c>
      <c r="AG14" s="8">
        <f t="shared" si="1"/>
        <v>17750.714454201108</v>
      </c>
      <c r="AH14" s="8">
        <f t="shared" si="1"/>
        <v>105198.62354511023</v>
      </c>
      <c r="AI14" s="8">
        <f t="shared" si="1"/>
        <v>180125.01197486231</v>
      </c>
      <c r="AJ14" s="8">
        <f t="shared" si="1"/>
        <v>207184.49957816809</v>
      </c>
      <c r="AK14" s="8">
        <f t="shared" si="1"/>
        <v>235417.08635502757</v>
      </c>
      <c r="AL14" s="8">
        <f t="shared" si="1"/>
        <v>172733.70658766472</v>
      </c>
      <c r="AM14" s="8">
        <f t="shared" si="1"/>
        <v>282608.63220749947</v>
      </c>
      <c r="AN14" s="8">
        <f t="shared" si="1"/>
        <v>313187.41733146639</v>
      </c>
      <c r="AO14" s="8">
        <f t="shared" si="1"/>
        <v>344470.06195956556</v>
      </c>
      <c r="AP14" s="8">
        <f t="shared" si="1"/>
        <v>375752.70658766472</v>
      </c>
      <c r="AQ14" s="8">
        <f t="shared" si="1"/>
        <v>407035.35121576395</v>
      </c>
      <c r="AR14" s="8">
        <f t="shared" si="1"/>
        <v>438317.99584386311</v>
      </c>
      <c r="AS14" s="8">
        <f t="shared" si="1"/>
        <v>389600.64047196228</v>
      </c>
      <c r="AT14" s="8">
        <f t="shared" si="1"/>
        <v>500883.28510006133</v>
      </c>
      <c r="AU14" s="8">
        <f t="shared" si="1"/>
        <v>532165.9297281605</v>
      </c>
      <c r="AV14" s="8">
        <f t="shared" si="1"/>
        <v>563448.57435625966</v>
      </c>
      <c r="AW14" s="8">
        <f t="shared" si="1"/>
        <v>594731.21898435883</v>
      </c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3" x14ac:dyDescent="0.3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</row>
    <row r="16" spans="1:63" x14ac:dyDescent="0.3">
      <c r="A16" s="106" t="s">
        <v>97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</row>
    <row r="17" spans="1:61 16384:16384" x14ac:dyDescent="0.3">
      <c r="A17" s="64" t="s">
        <v>98</v>
      </c>
      <c r="B17" s="105">
        <f t="shared" ref="B17:AW17" si="2">SUM(B18:B20)</f>
        <v>-44697.4</v>
      </c>
      <c r="C17" s="105">
        <f t="shared" si="2"/>
        <v>-50832.4</v>
      </c>
      <c r="D17" s="105">
        <f t="shared" si="2"/>
        <v>-39447.4</v>
      </c>
      <c r="E17" s="105">
        <f t="shared" si="2"/>
        <v>-16097.4</v>
      </c>
      <c r="F17" s="105">
        <f t="shared" si="2"/>
        <v>-9597.4</v>
      </c>
      <c r="G17" s="105">
        <f t="shared" si="2"/>
        <v>-74597.399999999994</v>
      </c>
      <c r="H17" s="105">
        <f t="shared" si="2"/>
        <v>-9597.4</v>
      </c>
      <c r="I17" s="105">
        <f t="shared" si="2"/>
        <v>-10097.4</v>
      </c>
      <c r="J17" s="105">
        <f t="shared" si="2"/>
        <v>-14597.4</v>
      </c>
      <c r="K17" s="105">
        <f t="shared" si="2"/>
        <v>-49137.4</v>
      </c>
      <c r="L17" s="105">
        <f t="shared" si="2"/>
        <v>-17595.846108815425</v>
      </c>
      <c r="M17" s="105">
        <f t="shared" si="2"/>
        <v>-38618.26346418733</v>
      </c>
      <c r="N17" s="105">
        <f t="shared" si="2"/>
        <v>-37655.09477444904</v>
      </c>
      <c r="O17" s="105">
        <f t="shared" si="2"/>
        <v>-22136.727178030302</v>
      </c>
      <c r="P17" s="105">
        <f t="shared" si="2"/>
        <v>-23103.979244146009</v>
      </c>
      <c r="Q17" s="105">
        <f t="shared" si="2"/>
        <v>-17649.165194559224</v>
      </c>
      <c r="R17" s="105">
        <f t="shared" si="2"/>
        <v>-6113.1817234848459</v>
      </c>
      <c r="S17" s="105">
        <f t="shared" si="2"/>
        <v>-1506.1651945592239</v>
      </c>
      <c r="T17" s="105">
        <f t="shared" si="2"/>
        <v>-46712.799621212122</v>
      </c>
      <c r="U17" s="105">
        <f t="shared" si="2"/>
        <v>-10929.097141873281</v>
      </c>
      <c r="V17" s="105">
        <f t="shared" si="2"/>
        <v>-108628.97610192838</v>
      </c>
      <c r="W17" s="105">
        <f t="shared" si="2"/>
        <v>-66332.798415977959</v>
      </c>
      <c r="X17" s="105">
        <f t="shared" si="2"/>
        <v>-12143.521556473825</v>
      </c>
      <c r="Y17" s="105">
        <f t="shared" si="2"/>
        <v>-1762.9389118457184</v>
      </c>
      <c r="Z17" s="105">
        <f t="shared" si="2"/>
        <v>-51147.442794421484</v>
      </c>
      <c r="AA17" s="105">
        <f t="shared" si="2"/>
        <v>17918.028503787893</v>
      </c>
      <c r="AB17" s="105">
        <f t="shared" si="2"/>
        <v>-36283.611992079852</v>
      </c>
      <c r="AC17" s="105">
        <f t="shared" si="2"/>
        <v>47874.396272382946</v>
      </c>
      <c r="AD17" s="105">
        <f t="shared" si="2"/>
        <v>66057.433462465589</v>
      </c>
      <c r="AE17" s="105">
        <f t="shared" si="2"/>
        <v>85601.912801308557</v>
      </c>
      <c r="AF17" s="105">
        <f t="shared" si="2"/>
        <v>106945.14420626726</v>
      </c>
      <c r="AG17" s="105">
        <f t="shared" si="2"/>
        <v>17750.714454201108</v>
      </c>
      <c r="AH17" s="105">
        <f t="shared" si="2"/>
        <v>105198.62354511023</v>
      </c>
      <c r="AI17" s="105">
        <f t="shared" si="2"/>
        <v>180125.01197486231</v>
      </c>
      <c r="AJ17" s="105">
        <f t="shared" si="2"/>
        <v>207184.49957816809</v>
      </c>
      <c r="AK17" s="105">
        <f t="shared" si="2"/>
        <v>235417.08635502757</v>
      </c>
      <c r="AL17" s="105">
        <f t="shared" si="2"/>
        <v>172733.70658766472</v>
      </c>
      <c r="AM17" s="105">
        <f t="shared" si="2"/>
        <v>282608.63220749947</v>
      </c>
      <c r="AN17" s="105">
        <f t="shared" si="2"/>
        <v>313187.41733146639</v>
      </c>
      <c r="AO17" s="105">
        <f t="shared" si="2"/>
        <v>344470.06195956556</v>
      </c>
      <c r="AP17" s="105">
        <f t="shared" si="2"/>
        <v>375752.70658766472</v>
      </c>
      <c r="AQ17" s="105">
        <f t="shared" si="2"/>
        <v>407035.35121576395</v>
      </c>
      <c r="AR17" s="105">
        <f t="shared" si="2"/>
        <v>438317.99584386311</v>
      </c>
      <c r="AS17" s="105">
        <f t="shared" si="2"/>
        <v>389600.64047196228</v>
      </c>
      <c r="AT17" s="105">
        <f t="shared" si="2"/>
        <v>500883.28510006133</v>
      </c>
      <c r="AU17" s="105">
        <f t="shared" si="2"/>
        <v>532165.9297281605</v>
      </c>
      <c r="AV17" s="105">
        <f t="shared" si="2"/>
        <v>563448.57435625966</v>
      </c>
      <c r="AW17" s="105">
        <f t="shared" si="2"/>
        <v>594731.21898435883</v>
      </c>
      <c r="AX17" s="64" t="e">
        <f>#REF!+AX8</f>
        <v>#REF!</v>
      </c>
      <c r="AY17" s="64" t="e">
        <f>#REF!+AY8</f>
        <v>#REF!</v>
      </c>
      <c r="AZ17" s="64" t="e">
        <f>#REF!+AZ8</f>
        <v>#REF!</v>
      </c>
      <c r="BA17" s="64" t="e">
        <f>#REF!+BA8</f>
        <v>#REF!</v>
      </c>
      <c r="BB17" s="64" t="e">
        <f>#REF!+BB8</f>
        <v>#REF!</v>
      </c>
      <c r="BC17" s="64" t="e">
        <f>#REF!+BC8</f>
        <v>#REF!</v>
      </c>
      <c r="BD17" s="64" t="e">
        <f>#REF!+BD8</f>
        <v>#REF!</v>
      </c>
      <c r="BE17" s="64" t="e">
        <f>#REF!+BE8</f>
        <v>#REF!</v>
      </c>
      <c r="BF17" s="64" t="e">
        <f>#REF!+BF8</f>
        <v>#REF!</v>
      </c>
      <c r="BG17" s="64" t="e">
        <f>#REF!+BG8</f>
        <v>#REF!</v>
      </c>
      <c r="BH17" s="64" t="e">
        <f>#REF!+BH8</f>
        <v>#REF!</v>
      </c>
      <c r="BI17" s="64" t="e">
        <f>#REF!+BI8</f>
        <v>#REF!</v>
      </c>
      <c r="XFD17" s="58" t="e">
        <f>SUM(B17:XFC17)</f>
        <v>#REF!</v>
      </c>
    </row>
    <row r="18" spans="1:61 16384:16384" x14ac:dyDescent="0.3">
      <c r="A18" s="53" t="s">
        <v>100</v>
      </c>
      <c r="B18" s="6">
        <f>+B14</f>
        <v>-44697.4</v>
      </c>
      <c r="C18" s="6">
        <f t="shared" ref="C18:AW18" si="3">+C14</f>
        <v>-50832.4</v>
      </c>
      <c r="D18" s="6">
        <f t="shared" si="3"/>
        <v>-39447.4</v>
      </c>
      <c r="E18" s="6">
        <f t="shared" si="3"/>
        <v>-16097.4</v>
      </c>
      <c r="F18" s="6">
        <f t="shared" si="3"/>
        <v>-9597.4</v>
      </c>
      <c r="G18" s="6">
        <f t="shared" si="3"/>
        <v>-74597.399999999994</v>
      </c>
      <c r="H18" s="6">
        <f t="shared" si="3"/>
        <v>-9597.4</v>
      </c>
      <c r="I18" s="6">
        <f t="shared" si="3"/>
        <v>-10097.4</v>
      </c>
      <c r="J18" s="6">
        <f t="shared" si="3"/>
        <v>-14597.4</v>
      </c>
      <c r="K18" s="6">
        <f t="shared" si="3"/>
        <v>-9137.4</v>
      </c>
      <c r="L18" s="6">
        <f t="shared" si="3"/>
        <v>-17595.846108815425</v>
      </c>
      <c r="M18" s="6">
        <f t="shared" si="3"/>
        <v>-13618.263464187328</v>
      </c>
      <c r="N18" s="6">
        <f t="shared" si="3"/>
        <v>-37655.09477444904</v>
      </c>
      <c r="O18" s="6">
        <f t="shared" si="3"/>
        <v>-22136.727178030302</v>
      </c>
      <c r="P18" s="6">
        <f t="shared" si="3"/>
        <v>-23103.979244146009</v>
      </c>
      <c r="Q18" s="6">
        <f t="shared" si="3"/>
        <v>-17649.165194559224</v>
      </c>
      <c r="R18" s="6">
        <f t="shared" si="3"/>
        <v>-6113.1817234848459</v>
      </c>
      <c r="S18" s="6">
        <f t="shared" si="3"/>
        <v>-1506.1651945592239</v>
      </c>
      <c r="T18" s="6">
        <f t="shared" si="3"/>
        <v>-46712.799621212122</v>
      </c>
      <c r="U18" s="6">
        <f t="shared" si="3"/>
        <v>-10929.097141873281</v>
      </c>
      <c r="V18" s="6">
        <f t="shared" si="3"/>
        <v>-108628.97610192838</v>
      </c>
      <c r="W18" s="6">
        <f t="shared" si="3"/>
        <v>-66332.798415977959</v>
      </c>
      <c r="X18" s="6">
        <f t="shared" si="3"/>
        <v>-12143.521556473825</v>
      </c>
      <c r="Y18" s="6">
        <f t="shared" si="3"/>
        <v>-1762.9389118457184</v>
      </c>
      <c r="Z18" s="6">
        <f t="shared" si="3"/>
        <v>-51147.442794421484</v>
      </c>
      <c r="AA18" s="6">
        <f t="shared" si="3"/>
        <v>17918.028503787893</v>
      </c>
      <c r="AB18" s="6">
        <f t="shared" si="3"/>
        <v>-36283.611992079852</v>
      </c>
      <c r="AC18" s="6">
        <f t="shared" si="3"/>
        <v>47874.396272382946</v>
      </c>
      <c r="AD18" s="6">
        <f t="shared" si="3"/>
        <v>66057.433462465589</v>
      </c>
      <c r="AE18" s="6">
        <f t="shared" si="3"/>
        <v>85601.912801308557</v>
      </c>
      <c r="AF18" s="6">
        <f t="shared" si="3"/>
        <v>106945.14420626726</v>
      </c>
      <c r="AG18" s="6">
        <f t="shared" si="3"/>
        <v>17750.714454201108</v>
      </c>
      <c r="AH18" s="6">
        <f t="shared" si="3"/>
        <v>105198.62354511023</v>
      </c>
      <c r="AI18" s="6">
        <f t="shared" si="3"/>
        <v>180125.01197486231</v>
      </c>
      <c r="AJ18" s="6">
        <f t="shared" si="3"/>
        <v>207184.49957816809</v>
      </c>
      <c r="AK18" s="6">
        <f t="shared" si="3"/>
        <v>235417.08635502757</v>
      </c>
      <c r="AL18" s="6">
        <f t="shared" si="3"/>
        <v>172733.70658766472</v>
      </c>
      <c r="AM18" s="6">
        <f t="shared" si="3"/>
        <v>282608.63220749947</v>
      </c>
      <c r="AN18" s="6">
        <f t="shared" si="3"/>
        <v>313187.41733146639</v>
      </c>
      <c r="AO18" s="6">
        <f t="shared" si="3"/>
        <v>344470.06195956556</v>
      </c>
      <c r="AP18" s="6">
        <f t="shared" si="3"/>
        <v>375752.70658766472</v>
      </c>
      <c r="AQ18" s="6">
        <f t="shared" si="3"/>
        <v>407035.35121576395</v>
      </c>
      <c r="AR18" s="6">
        <f t="shared" si="3"/>
        <v>438317.99584386311</v>
      </c>
      <c r="AS18" s="6">
        <f t="shared" si="3"/>
        <v>389600.64047196228</v>
      </c>
      <c r="AT18" s="6">
        <f t="shared" si="3"/>
        <v>500883.28510006133</v>
      </c>
      <c r="AU18" s="6">
        <f t="shared" si="3"/>
        <v>532165.9297281605</v>
      </c>
      <c r="AV18" s="6">
        <f t="shared" si="3"/>
        <v>563448.57435625966</v>
      </c>
      <c r="AW18" s="6">
        <f t="shared" si="3"/>
        <v>594731.21898435883</v>
      </c>
    </row>
    <row r="19" spans="1:61 16384:16384" x14ac:dyDescent="0.3">
      <c r="A19" s="53" t="s">
        <v>141</v>
      </c>
      <c r="B19" s="6">
        <f>+B11</f>
        <v>0</v>
      </c>
      <c r="C19" s="6">
        <f t="shared" ref="C19:AW19" si="4">+C11</f>
        <v>0</v>
      </c>
      <c r="D19" s="6">
        <f t="shared" si="4"/>
        <v>0</v>
      </c>
      <c r="E19" s="6">
        <f t="shared" si="4"/>
        <v>0</v>
      </c>
      <c r="F19" s="6">
        <f t="shared" si="4"/>
        <v>0</v>
      </c>
      <c r="G19" s="6">
        <f t="shared" si="4"/>
        <v>0</v>
      </c>
      <c r="H19" s="6">
        <f t="shared" si="4"/>
        <v>0</v>
      </c>
      <c r="I19" s="6">
        <f t="shared" si="4"/>
        <v>0</v>
      </c>
      <c r="J19" s="6">
        <f t="shared" si="4"/>
        <v>0</v>
      </c>
      <c r="K19" s="6">
        <f t="shared" si="4"/>
        <v>0</v>
      </c>
      <c r="L19" s="6">
        <f t="shared" si="4"/>
        <v>0</v>
      </c>
      <c r="M19" s="6">
        <f t="shared" si="4"/>
        <v>0</v>
      </c>
      <c r="N19" s="6">
        <f t="shared" si="4"/>
        <v>0</v>
      </c>
      <c r="O19" s="6">
        <f t="shared" si="4"/>
        <v>0</v>
      </c>
      <c r="P19" s="6">
        <f t="shared" si="4"/>
        <v>0</v>
      </c>
      <c r="Q19" s="6">
        <f t="shared" si="4"/>
        <v>0</v>
      </c>
      <c r="R19" s="6">
        <f t="shared" si="4"/>
        <v>0</v>
      </c>
      <c r="S19" s="6">
        <f t="shared" si="4"/>
        <v>0</v>
      </c>
      <c r="T19" s="6">
        <f t="shared" si="4"/>
        <v>0</v>
      </c>
      <c r="U19" s="6">
        <f t="shared" si="4"/>
        <v>0</v>
      </c>
      <c r="V19" s="6">
        <f t="shared" si="4"/>
        <v>0</v>
      </c>
      <c r="W19" s="6">
        <f t="shared" si="4"/>
        <v>0</v>
      </c>
      <c r="X19" s="6">
        <f t="shared" si="4"/>
        <v>0</v>
      </c>
      <c r="Y19" s="6">
        <f t="shared" si="4"/>
        <v>0</v>
      </c>
      <c r="Z19" s="6">
        <f t="shared" si="4"/>
        <v>0</v>
      </c>
      <c r="AA19" s="6">
        <f t="shared" si="4"/>
        <v>0</v>
      </c>
      <c r="AB19" s="6">
        <f t="shared" si="4"/>
        <v>0</v>
      </c>
      <c r="AC19" s="6">
        <f t="shared" si="4"/>
        <v>0</v>
      </c>
      <c r="AD19" s="6">
        <f t="shared" si="4"/>
        <v>0</v>
      </c>
      <c r="AE19" s="6">
        <f t="shared" si="4"/>
        <v>0</v>
      </c>
      <c r="AF19" s="6">
        <f t="shared" si="4"/>
        <v>0</v>
      </c>
      <c r="AG19" s="6">
        <f t="shared" si="4"/>
        <v>0</v>
      </c>
      <c r="AH19" s="6">
        <f t="shared" si="4"/>
        <v>0</v>
      </c>
      <c r="AI19" s="6">
        <f t="shared" si="4"/>
        <v>0</v>
      </c>
      <c r="AJ19" s="6">
        <f t="shared" si="4"/>
        <v>0</v>
      </c>
      <c r="AK19" s="6">
        <f t="shared" si="4"/>
        <v>0</v>
      </c>
      <c r="AL19" s="6">
        <f t="shared" si="4"/>
        <v>0</v>
      </c>
      <c r="AM19" s="6">
        <f t="shared" si="4"/>
        <v>0</v>
      </c>
      <c r="AN19" s="6">
        <f t="shared" si="4"/>
        <v>0</v>
      </c>
      <c r="AO19" s="6">
        <f t="shared" si="4"/>
        <v>0</v>
      </c>
      <c r="AP19" s="6">
        <f t="shared" si="4"/>
        <v>0</v>
      </c>
      <c r="AQ19" s="6">
        <f t="shared" si="4"/>
        <v>0</v>
      </c>
      <c r="AR19" s="6">
        <f t="shared" si="4"/>
        <v>0</v>
      </c>
      <c r="AS19" s="6">
        <f t="shared" si="4"/>
        <v>0</v>
      </c>
      <c r="AT19" s="6">
        <f t="shared" si="4"/>
        <v>0</v>
      </c>
      <c r="AU19" s="6">
        <f t="shared" si="4"/>
        <v>0</v>
      </c>
      <c r="AV19" s="6">
        <f t="shared" si="4"/>
        <v>0</v>
      </c>
      <c r="AW19" s="6">
        <f t="shared" si="4"/>
        <v>0</v>
      </c>
    </row>
    <row r="20" spans="1:61 16384:16384" x14ac:dyDescent="0.3">
      <c r="A20" s="53" t="s">
        <v>140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85">
        <v>-40000</v>
      </c>
      <c r="L20" s="85"/>
      <c r="M20" s="85">
        <v>-25000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</row>
    <row r="21" spans="1:61 16384:16384" x14ac:dyDescent="0.3">
      <c r="A21" s="64" t="s">
        <v>28</v>
      </c>
      <c r="B21" s="105">
        <f>-(+B22)</f>
        <v>0</v>
      </c>
      <c r="C21" s="105">
        <f t="shared" ref="C21:BI21" si="5">-(+C22)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  <c r="M21" s="105">
        <f t="shared" si="5"/>
        <v>0</v>
      </c>
      <c r="N21" s="105">
        <f t="shared" si="5"/>
        <v>0</v>
      </c>
      <c r="O21" s="105">
        <f t="shared" si="5"/>
        <v>0</v>
      </c>
      <c r="P21" s="105">
        <f t="shared" si="5"/>
        <v>0</v>
      </c>
      <c r="Q21" s="105">
        <f t="shared" si="5"/>
        <v>0</v>
      </c>
      <c r="R21" s="105">
        <f t="shared" si="5"/>
        <v>0</v>
      </c>
      <c r="S21" s="105">
        <f t="shared" si="5"/>
        <v>0</v>
      </c>
      <c r="T21" s="105">
        <f t="shared" si="5"/>
        <v>0</v>
      </c>
      <c r="U21" s="105">
        <f t="shared" si="5"/>
        <v>0</v>
      </c>
      <c r="V21" s="105">
        <f t="shared" si="5"/>
        <v>0</v>
      </c>
      <c r="W21" s="105">
        <f t="shared" si="5"/>
        <v>0</v>
      </c>
      <c r="X21" s="105">
        <f t="shared" si="5"/>
        <v>0</v>
      </c>
      <c r="Y21" s="105">
        <f t="shared" si="5"/>
        <v>0</v>
      </c>
      <c r="Z21" s="105">
        <f t="shared" si="5"/>
        <v>0</v>
      </c>
      <c r="AA21" s="105">
        <f t="shared" si="5"/>
        <v>0</v>
      </c>
      <c r="AB21" s="105">
        <f t="shared" si="5"/>
        <v>0</v>
      </c>
      <c r="AC21" s="105">
        <f t="shared" si="5"/>
        <v>0</v>
      </c>
      <c r="AD21" s="105">
        <f t="shared" si="5"/>
        <v>0</v>
      </c>
      <c r="AE21" s="105">
        <f t="shared" si="5"/>
        <v>0</v>
      </c>
      <c r="AF21" s="105">
        <f t="shared" si="5"/>
        <v>0</v>
      </c>
      <c r="AG21" s="105">
        <f t="shared" si="5"/>
        <v>0</v>
      </c>
      <c r="AH21" s="105">
        <f t="shared" si="5"/>
        <v>0</v>
      </c>
      <c r="AI21" s="105">
        <f t="shared" si="5"/>
        <v>0</v>
      </c>
      <c r="AJ21" s="105">
        <f t="shared" si="5"/>
        <v>0</v>
      </c>
      <c r="AK21" s="105">
        <f t="shared" si="5"/>
        <v>0</v>
      </c>
      <c r="AL21" s="105">
        <f t="shared" si="5"/>
        <v>0</v>
      </c>
      <c r="AM21" s="105">
        <f t="shared" si="5"/>
        <v>0</v>
      </c>
      <c r="AN21" s="105">
        <f t="shared" si="5"/>
        <v>0</v>
      </c>
      <c r="AO21" s="105">
        <f t="shared" si="5"/>
        <v>0</v>
      </c>
      <c r="AP21" s="105">
        <f t="shared" si="5"/>
        <v>0</v>
      </c>
      <c r="AQ21" s="105">
        <f t="shared" si="5"/>
        <v>0</v>
      </c>
      <c r="AR21" s="105">
        <f t="shared" si="5"/>
        <v>0</v>
      </c>
      <c r="AS21" s="105">
        <f t="shared" si="5"/>
        <v>0</v>
      </c>
      <c r="AT21" s="105">
        <f t="shared" si="5"/>
        <v>0</v>
      </c>
      <c r="AU21" s="105">
        <f t="shared" si="5"/>
        <v>0</v>
      </c>
      <c r="AV21" s="105">
        <f t="shared" si="5"/>
        <v>0</v>
      </c>
      <c r="AW21" s="105">
        <f t="shared" si="5"/>
        <v>0</v>
      </c>
      <c r="AX21" s="64">
        <f t="shared" si="5"/>
        <v>0</v>
      </c>
      <c r="AY21" s="64">
        <f t="shared" si="5"/>
        <v>0</v>
      </c>
      <c r="AZ21" s="64">
        <f t="shared" si="5"/>
        <v>0</v>
      </c>
      <c r="BA21" s="64">
        <f t="shared" si="5"/>
        <v>0</v>
      </c>
      <c r="BB21" s="64">
        <f t="shared" si="5"/>
        <v>0</v>
      </c>
      <c r="BC21" s="64">
        <f t="shared" si="5"/>
        <v>0</v>
      </c>
      <c r="BD21" s="64">
        <f t="shared" si="5"/>
        <v>0</v>
      </c>
      <c r="BE21" s="64">
        <f t="shared" si="5"/>
        <v>0</v>
      </c>
      <c r="BF21" s="64">
        <f t="shared" si="5"/>
        <v>0</v>
      </c>
      <c r="BG21" s="64">
        <f t="shared" si="5"/>
        <v>0</v>
      </c>
      <c r="BH21" s="64">
        <f t="shared" si="5"/>
        <v>0</v>
      </c>
      <c r="BI21" s="64">
        <f t="shared" si="5"/>
        <v>0</v>
      </c>
    </row>
    <row r="22" spans="1:61 16384:16384" x14ac:dyDescent="0.3">
      <c r="A22" s="53" t="s">
        <v>34</v>
      </c>
      <c r="B22" s="6">
        <v>0</v>
      </c>
      <c r="C22" s="6">
        <v>0</v>
      </c>
      <c r="D22" s="6">
        <v>0</v>
      </c>
      <c r="E22" s="6"/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53">
        <v>0</v>
      </c>
      <c r="AY22" s="53">
        <v>0</v>
      </c>
      <c r="AZ22" s="53">
        <v>0</v>
      </c>
      <c r="BA22" s="53">
        <v>0</v>
      </c>
      <c r="BB22" s="53">
        <v>0</v>
      </c>
      <c r="BC22" s="53">
        <v>0</v>
      </c>
      <c r="BD22" s="53">
        <v>0</v>
      </c>
      <c r="BE22" s="53">
        <v>0</v>
      </c>
      <c r="BF22" s="53">
        <v>0</v>
      </c>
      <c r="BG22" s="53">
        <v>0</v>
      </c>
      <c r="BH22" s="53">
        <v>0</v>
      </c>
      <c r="BI22" s="53">
        <v>0</v>
      </c>
    </row>
    <row r="23" spans="1:61 16384:16384" x14ac:dyDescent="0.3">
      <c r="A23" s="64" t="s">
        <v>101</v>
      </c>
      <c r="B23" s="105">
        <f>SUM(B24:B29)</f>
        <v>0</v>
      </c>
      <c r="C23" s="105">
        <f>SUM(C24:C31)</f>
        <v>194200</v>
      </c>
      <c r="D23" s="105">
        <f t="shared" ref="D23:AW23" si="6">SUM(D24:D31)</f>
        <v>15000</v>
      </c>
      <c r="E23" s="105">
        <f t="shared" si="6"/>
        <v>0</v>
      </c>
      <c r="F23" s="105">
        <f t="shared" si="6"/>
        <v>25000</v>
      </c>
      <c r="G23" s="105">
        <f t="shared" si="6"/>
        <v>-740</v>
      </c>
      <c r="H23" s="105">
        <f t="shared" si="6"/>
        <v>-740</v>
      </c>
      <c r="I23" s="105">
        <f t="shared" si="6"/>
        <v>-740</v>
      </c>
      <c r="J23" s="105">
        <f t="shared" si="6"/>
        <v>13260</v>
      </c>
      <c r="K23" s="105">
        <f t="shared" si="6"/>
        <v>74260</v>
      </c>
      <c r="L23" s="105">
        <f t="shared" si="6"/>
        <v>-740</v>
      </c>
      <c r="M23" s="105">
        <f t="shared" si="6"/>
        <v>156260</v>
      </c>
      <c r="N23" s="105">
        <f t="shared" si="6"/>
        <v>5260</v>
      </c>
      <c r="O23" s="105">
        <f t="shared" si="6"/>
        <v>-740</v>
      </c>
      <c r="P23" s="105">
        <f t="shared" si="6"/>
        <v>11760</v>
      </c>
      <c r="Q23" s="105">
        <f t="shared" si="6"/>
        <v>4000</v>
      </c>
      <c r="R23" s="105">
        <f t="shared" si="6"/>
        <v>38000</v>
      </c>
      <c r="S23" s="105">
        <f t="shared" si="6"/>
        <v>-2000</v>
      </c>
      <c r="T23" s="105">
        <f t="shared" si="6"/>
        <v>10000</v>
      </c>
      <c r="U23" s="105">
        <f t="shared" si="6"/>
        <v>-2740</v>
      </c>
      <c r="V23" s="105">
        <f t="shared" si="6"/>
        <v>287260</v>
      </c>
      <c r="W23" s="105">
        <f t="shared" si="6"/>
        <v>9260</v>
      </c>
      <c r="X23" s="105">
        <f t="shared" si="6"/>
        <v>-2740</v>
      </c>
      <c r="Y23" s="105">
        <f t="shared" si="6"/>
        <v>-2740</v>
      </c>
      <c r="Z23" s="105">
        <f t="shared" si="6"/>
        <v>7260</v>
      </c>
      <c r="AA23" s="105">
        <f t="shared" si="6"/>
        <v>-2740</v>
      </c>
      <c r="AB23" s="105">
        <f t="shared" si="6"/>
        <v>-2740</v>
      </c>
      <c r="AC23" s="105">
        <f t="shared" si="6"/>
        <v>7260</v>
      </c>
      <c r="AD23" s="105">
        <f t="shared" si="6"/>
        <v>-2740</v>
      </c>
      <c r="AE23" s="105">
        <f t="shared" si="6"/>
        <v>-2740</v>
      </c>
      <c r="AF23" s="105">
        <f t="shared" si="6"/>
        <v>7260</v>
      </c>
      <c r="AG23" s="105">
        <f t="shared" si="6"/>
        <v>-2740</v>
      </c>
      <c r="AH23" s="105">
        <f t="shared" si="6"/>
        <v>-2740</v>
      </c>
      <c r="AI23" s="105">
        <f t="shared" si="6"/>
        <v>5260</v>
      </c>
      <c r="AJ23" s="105">
        <f t="shared" si="6"/>
        <v>-2740</v>
      </c>
      <c r="AK23" s="105">
        <f t="shared" si="6"/>
        <v>-2740</v>
      </c>
      <c r="AL23" s="105">
        <f t="shared" si="6"/>
        <v>5260</v>
      </c>
      <c r="AM23" s="105">
        <f t="shared" si="6"/>
        <v>-2740</v>
      </c>
      <c r="AN23" s="105">
        <f t="shared" si="6"/>
        <v>-17740</v>
      </c>
      <c r="AO23" s="105">
        <f t="shared" si="6"/>
        <v>4000</v>
      </c>
      <c r="AP23" s="105">
        <f t="shared" si="6"/>
        <v>-2000</v>
      </c>
      <c r="AQ23" s="105">
        <f t="shared" si="6"/>
        <v>-2000</v>
      </c>
      <c r="AR23" s="105">
        <f t="shared" si="6"/>
        <v>4000</v>
      </c>
      <c r="AS23" s="105">
        <f t="shared" si="6"/>
        <v>-2000</v>
      </c>
      <c r="AT23" s="105">
        <f t="shared" si="6"/>
        <v>-2000</v>
      </c>
      <c r="AU23" s="105">
        <f t="shared" si="6"/>
        <v>-2000</v>
      </c>
      <c r="AV23" s="105">
        <f t="shared" si="6"/>
        <v>-2000</v>
      </c>
      <c r="AW23" s="105">
        <f t="shared" si="6"/>
        <v>-2000</v>
      </c>
      <c r="AX23" s="64">
        <f>SUM(AX24:AX29)</f>
        <v>0</v>
      </c>
      <c r="AY23" s="64">
        <f>SUM(AY24:AY29)</f>
        <v>0</v>
      </c>
      <c r="AZ23" s="64">
        <f>SUM(AZ24:AZ29)</f>
        <v>0</v>
      </c>
      <c r="BA23" s="64">
        <f>SUM(BA24:BA29)</f>
        <v>0</v>
      </c>
      <c r="BB23" s="64">
        <f>SUM(BB24:BB29)</f>
        <v>0</v>
      </c>
      <c r="BC23" s="64">
        <f>SUM(BC24:BC29)</f>
        <v>0</v>
      </c>
      <c r="BD23" s="64">
        <f>SUM(BD24:BD29)</f>
        <v>0</v>
      </c>
      <c r="BE23" s="64">
        <f>SUM(BE24:BE29)</f>
        <v>0</v>
      </c>
      <c r="BF23" s="64">
        <f>SUM(BF24:BF29)</f>
        <v>0</v>
      </c>
      <c r="BG23" s="64">
        <f>SUM(BG24:BG29)</f>
        <v>0</v>
      </c>
      <c r="BH23" s="64">
        <f>SUM(BH24:BH29)</f>
        <v>0</v>
      </c>
      <c r="BI23" s="64">
        <f>SUM(BI24:BI29)</f>
        <v>0</v>
      </c>
    </row>
    <row r="24" spans="1:61 16384:16384" x14ac:dyDescent="0.3">
      <c r="A24" s="53" t="s">
        <v>102</v>
      </c>
      <c r="B24" s="6"/>
      <c r="C24" s="6">
        <v>75000</v>
      </c>
      <c r="D24" s="6"/>
      <c r="E24" s="6"/>
      <c r="F24" s="6"/>
      <c r="G24" s="6"/>
      <c r="H24" s="6"/>
      <c r="I24" s="6"/>
      <c r="J24" s="6"/>
      <c r="M24" s="6">
        <v>25000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>
        <v>0</v>
      </c>
    </row>
    <row r="25" spans="1:61 16384:16384" x14ac:dyDescent="0.3">
      <c r="A25" s="53" t="s">
        <v>38</v>
      </c>
      <c r="B25" s="6"/>
      <c r="C25" s="6">
        <v>119200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85">
        <v>0</v>
      </c>
      <c r="K25" s="6"/>
      <c r="M25" s="85">
        <v>132000</v>
      </c>
      <c r="N25" s="85">
        <v>0</v>
      </c>
      <c r="O25" s="85">
        <v>0</v>
      </c>
      <c r="P25" s="85">
        <v>0</v>
      </c>
      <c r="Q25" s="85">
        <v>0</v>
      </c>
      <c r="R25" s="85">
        <v>0</v>
      </c>
      <c r="S25" s="85">
        <v>0</v>
      </c>
      <c r="T25" s="85">
        <v>0</v>
      </c>
      <c r="U25" s="85">
        <v>0</v>
      </c>
      <c r="V25" s="85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/>
      <c r="AP25" s="6"/>
      <c r="AQ25" s="6"/>
      <c r="AR25" s="6"/>
      <c r="AS25" s="6"/>
      <c r="AT25" s="6"/>
      <c r="AU25" s="6"/>
      <c r="AV25" s="6"/>
      <c r="AW25" s="6"/>
      <c r="AX25" s="65">
        <v>0</v>
      </c>
      <c r="AY25" s="65">
        <v>0</v>
      </c>
      <c r="AZ25" s="65">
        <v>0</v>
      </c>
      <c r="BA25" s="65">
        <v>0</v>
      </c>
      <c r="BB25" s="65">
        <v>0</v>
      </c>
      <c r="BC25" s="65">
        <v>0</v>
      </c>
      <c r="BD25" s="65">
        <v>0</v>
      </c>
      <c r="BE25" s="65">
        <v>0</v>
      </c>
      <c r="BF25" s="65">
        <v>0</v>
      </c>
      <c r="BG25" s="65">
        <v>0</v>
      </c>
      <c r="BH25" s="65">
        <v>0</v>
      </c>
      <c r="BI25" s="65">
        <v>0</v>
      </c>
    </row>
    <row r="26" spans="1:61 16384:16384" x14ac:dyDescent="0.3">
      <c r="A26" s="53" t="s">
        <v>103</v>
      </c>
      <c r="B26" s="6"/>
      <c r="C26" s="6"/>
      <c r="D26" s="6"/>
      <c r="E26" s="6"/>
      <c r="F26" s="6"/>
      <c r="G26" s="6"/>
      <c r="H26" s="6"/>
      <c r="I26" s="6"/>
      <c r="J26" s="85"/>
      <c r="K26" s="6"/>
      <c r="L26" s="6"/>
      <c r="M26" s="85"/>
      <c r="N26" s="85"/>
      <c r="O26" s="85"/>
      <c r="P26" s="85"/>
      <c r="Q26" s="85"/>
      <c r="R26" s="85"/>
      <c r="S26" s="85"/>
      <c r="T26" s="85"/>
      <c r="U26" s="85"/>
      <c r="V26" s="85">
        <v>250000</v>
      </c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</row>
    <row r="27" spans="1:61 16384:16384" x14ac:dyDescent="0.3">
      <c r="A27" s="53" t="s">
        <v>144</v>
      </c>
      <c r="B27" s="6"/>
      <c r="C27" s="6"/>
      <c r="D27" s="6">
        <v>15000</v>
      </c>
      <c r="E27" s="6"/>
      <c r="F27" s="6"/>
      <c r="G27" s="6"/>
      <c r="H27" s="6"/>
      <c r="I27" s="6"/>
      <c r="J27" s="85"/>
      <c r="K27" s="6"/>
      <c r="L27" s="6"/>
      <c r="M27" s="112"/>
      <c r="N27" s="85"/>
      <c r="O27" s="85"/>
      <c r="P27" s="85"/>
      <c r="Q27" s="85"/>
      <c r="R27" s="85"/>
      <c r="S27" s="85"/>
      <c r="T27" s="85"/>
      <c r="U27" s="85"/>
      <c r="V27" s="85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>
        <v>-15000</v>
      </c>
      <c r="AO27" s="6"/>
      <c r="AP27" s="6"/>
      <c r="AQ27" s="6"/>
      <c r="AR27" s="6"/>
      <c r="AS27" s="6"/>
      <c r="AT27" s="6"/>
      <c r="AU27" s="6"/>
      <c r="AV27" s="6"/>
      <c r="AW27" s="6"/>
      <c r="AX27" s="7"/>
      <c r="AY27" s="7"/>
      <c r="AZ27" s="65"/>
      <c r="BA27" s="65"/>
      <c r="BB27" s="65"/>
      <c r="BC27" s="65"/>
      <c r="BD27" s="65"/>
      <c r="BE27" s="65"/>
      <c r="BF27" s="65"/>
      <c r="BG27" s="65"/>
      <c r="BH27" s="65"/>
      <c r="BI27" s="65"/>
    </row>
    <row r="28" spans="1:61 16384:16384" x14ac:dyDescent="0.3">
      <c r="A28" s="53" t="s">
        <v>105</v>
      </c>
      <c r="B28" s="6"/>
      <c r="C28" s="6"/>
      <c r="D28" s="6"/>
      <c r="E28" s="6"/>
      <c r="F28" s="6">
        <v>25000</v>
      </c>
      <c r="G28" s="6"/>
      <c r="H28" s="6"/>
      <c r="I28" s="6"/>
      <c r="J28" s="85">
        <v>0</v>
      </c>
      <c r="K28" s="6">
        <v>75000</v>
      </c>
      <c r="L28" s="6"/>
      <c r="M28" s="112"/>
      <c r="N28" s="85"/>
      <c r="O28" s="85"/>
      <c r="P28" s="85"/>
      <c r="Q28" s="85"/>
      <c r="R28" s="85"/>
      <c r="S28" s="85"/>
      <c r="T28" s="85"/>
      <c r="U28" s="85"/>
      <c r="V28" s="85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7"/>
      <c r="AY28" s="7"/>
      <c r="AZ28" s="65">
        <v>0</v>
      </c>
      <c r="BA28" s="65">
        <v>0</v>
      </c>
      <c r="BB28" s="65">
        <v>0</v>
      </c>
      <c r="BC28" s="65">
        <v>0</v>
      </c>
      <c r="BD28" s="65">
        <v>0</v>
      </c>
      <c r="BE28" s="65">
        <v>0</v>
      </c>
      <c r="BF28" s="65">
        <v>0</v>
      </c>
      <c r="BG28" s="65">
        <v>0</v>
      </c>
      <c r="BH28" s="65">
        <v>0</v>
      </c>
      <c r="BI28" s="65">
        <v>0</v>
      </c>
    </row>
    <row r="29" spans="1:61 16384:16384" x14ac:dyDescent="0.3">
      <c r="A29" s="53" t="s">
        <v>104</v>
      </c>
      <c r="B29" s="6"/>
      <c r="C29" s="6"/>
      <c r="D29" s="6"/>
      <c r="E29" s="6"/>
      <c r="G29" s="6">
        <v>-740</v>
      </c>
      <c r="H29" s="6">
        <v>-740</v>
      </c>
      <c r="I29" s="6">
        <v>-740</v>
      </c>
      <c r="J29" s="85">
        <v>-740</v>
      </c>
      <c r="K29" s="6">
        <v>-740</v>
      </c>
      <c r="L29" s="6">
        <v>-740</v>
      </c>
      <c r="M29" s="85">
        <v>-740</v>
      </c>
      <c r="N29" s="85">
        <v>-740</v>
      </c>
      <c r="O29" s="85">
        <v>-740</v>
      </c>
      <c r="P29" s="85">
        <v>-740</v>
      </c>
      <c r="Q29" s="85">
        <v>-2000</v>
      </c>
      <c r="R29" s="85">
        <v>-2000</v>
      </c>
      <c r="S29" s="85">
        <v>-2000</v>
      </c>
      <c r="T29" s="85">
        <v>-2000</v>
      </c>
      <c r="U29" s="85">
        <v>-2740</v>
      </c>
      <c r="V29" s="85">
        <v>-2740</v>
      </c>
      <c r="W29" s="6">
        <v>-2740</v>
      </c>
      <c r="X29" s="6">
        <v>-2740</v>
      </c>
      <c r="Y29" s="6">
        <v>-2740</v>
      </c>
      <c r="Z29" s="6">
        <v>-2740</v>
      </c>
      <c r="AA29" s="6">
        <v>-2740</v>
      </c>
      <c r="AB29" s="6">
        <v>-2740</v>
      </c>
      <c r="AC29" s="6">
        <v>-2740</v>
      </c>
      <c r="AD29" s="6">
        <v>-2740</v>
      </c>
      <c r="AE29" s="6">
        <v>-2740</v>
      </c>
      <c r="AF29" s="6">
        <v>-2740</v>
      </c>
      <c r="AG29" s="6">
        <v>-2740</v>
      </c>
      <c r="AH29" s="6">
        <v>-2740</v>
      </c>
      <c r="AI29" s="6">
        <v>-2740</v>
      </c>
      <c r="AJ29" s="6">
        <v>-2740</v>
      </c>
      <c r="AK29" s="6">
        <v>-2740</v>
      </c>
      <c r="AL29" s="6">
        <v>-2740</v>
      </c>
      <c r="AM29" s="6">
        <v>-2740</v>
      </c>
      <c r="AN29" s="6">
        <v>-2740</v>
      </c>
      <c r="AO29" s="6">
        <v>-2000</v>
      </c>
      <c r="AP29" s="6">
        <v>-2000</v>
      </c>
      <c r="AQ29" s="6">
        <v>-2000</v>
      </c>
      <c r="AR29" s="6">
        <v>-2000</v>
      </c>
      <c r="AS29" s="6">
        <v>-2000</v>
      </c>
      <c r="AT29" s="6">
        <v>-2000</v>
      </c>
      <c r="AU29" s="6">
        <v>-2000</v>
      </c>
      <c r="AV29" s="6">
        <v>-2000</v>
      </c>
      <c r="AW29" s="6">
        <v>-2000</v>
      </c>
      <c r="AX29" s="66">
        <v>0</v>
      </c>
      <c r="AY29" s="66">
        <v>0</v>
      </c>
      <c r="AZ29" s="66">
        <v>0</v>
      </c>
      <c r="BA29" s="66">
        <v>0</v>
      </c>
      <c r="BB29" s="66">
        <v>0</v>
      </c>
      <c r="BC29" s="66">
        <v>0</v>
      </c>
      <c r="BD29" s="66">
        <v>0</v>
      </c>
      <c r="BE29" s="66">
        <v>0</v>
      </c>
      <c r="BF29" s="66">
        <v>0</v>
      </c>
      <c r="BG29" s="66">
        <v>0</v>
      </c>
      <c r="BH29" s="66">
        <v>0</v>
      </c>
      <c r="BI29" s="66">
        <v>0</v>
      </c>
    </row>
    <row r="30" spans="1:61 16384:16384" x14ac:dyDescent="0.3">
      <c r="A30" s="53" t="s">
        <v>142</v>
      </c>
      <c r="B30" s="6"/>
      <c r="C30" s="6"/>
      <c r="D30" s="6"/>
      <c r="E30" s="6"/>
      <c r="F30" s="6"/>
      <c r="G30" s="6"/>
      <c r="H30" s="6"/>
      <c r="I30" s="6"/>
      <c r="J30" s="85">
        <v>14000</v>
      </c>
      <c r="K30" s="6"/>
      <c r="L30" s="6"/>
      <c r="M30" s="85"/>
      <c r="N30" s="85"/>
      <c r="O30" s="85"/>
      <c r="P30" s="85">
        <v>12500</v>
      </c>
      <c r="Q30" s="85"/>
      <c r="R30" s="85">
        <v>40000</v>
      </c>
      <c r="S30" s="85"/>
      <c r="T30" s="85"/>
      <c r="U30" s="85"/>
      <c r="V30" s="85">
        <v>40000</v>
      </c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>
        <v>0</v>
      </c>
      <c r="AM30" s="6">
        <v>0</v>
      </c>
      <c r="AN30" s="6">
        <v>0</v>
      </c>
      <c r="AO30" s="6"/>
      <c r="AP30" s="6"/>
      <c r="AQ30" s="6"/>
      <c r="AR30" s="6"/>
      <c r="AS30" s="6"/>
      <c r="AT30" s="6"/>
      <c r="AU30" s="6"/>
      <c r="AV30" s="6"/>
      <c r="AW30" s="6"/>
      <c r="AX30" s="65">
        <v>0</v>
      </c>
      <c r="AY30" s="65">
        <v>0</v>
      </c>
      <c r="AZ30" s="65">
        <v>0</v>
      </c>
      <c r="BA30" s="65">
        <v>0</v>
      </c>
      <c r="BB30" s="65">
        <v>0</v>
      </c>
      <c r="BC30" s="65">
        <v>0</v>
      </c>
      <c r="BD30" s="65">
        <v>0</v>
      </c>
      <c r="BE30" s="65">
        <v>0</v>
      </c>
      <c r="BF30" s="65">
        <v>0</v>
      </c>
      <c r="BG30" s="65">
        <v>0</v>
      </c>
      <c r="BH30" s="65">
        <v>0</v>
      </c>
      <c r="BI30" s="65">
        <v>0</v>
      </c>
    </row>
    <row r="31" spans="1:61 16384:16384" x14ac:dyDescent="0.3">
      <c r="A31" s="53" t="s">
        <v>143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>
        <v>6000</v>
      </c>
      <c r="O31" s="6"/>
      <c r="P31" s="6"/>
      <c r="Q31" s="6">
        <v>6000</v>
      </c>
      <c r="R31" s="6"/>
      <c r="S31" s="6"/>
      <c r="T31" s="6">
        <v>12000</v>
      </c>
      <c r="U31" s="6"/>
      <c r="V31" s="6"/>
      <c r="W31" s="6">
        <v>12000</v>
      </c>
      <c r="X31" s="6"/>
      <c r="Y31" s="6"/>
      <c r="Z31" s="6">
        <v>10000</v>
      </c>
      <c r="AA31" s="6"/>
      <c r="AB31" s="6"/>
      <c r="AC31" s="6">
        <v>10000</v>
      </c>
      <c r="AD31" s="6"/>
      <c r="AE31" s="6"/>
      <c r="AF31" s="6">
        <v>10000</v>
      </c>
      <c r="AG31" s="6"/>
      <c r="AH31" s="6"/>
      <c r="AI31" s="6">
        <v>8000</v>
      </c>
      <c r="AJ31" s="6"/>
      <c r="AK31" s="6"/>
      <c r="AL31" s="6">
        <v>8000</v>
      </c>
      <c r="AM31" s="6"/>
      <c r="AN31" s="6"/>
      <c r="AO31" s="6">
        <v>6000</v>
      </c>
      <c r="AP31" s="6"/>
      <c r="AQ31" s="6"/>
      <c r="AR31" s="6">
        <v>6000</v>
      </c>
      <c r="AS31" s="6"/>
      <c r="AT31" s="6"/>
      <c r="AU31" s="6"/>
      <c r="AV31" s="6"/>
      <c r="AW31" s="6"/>
    </row>
    <row r="32" spans="1:61 16384:16384" x14ac:dyDescent="0.3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</row>
    <row r="33" spans="1:61" x14ac:dyDescent="0.3">
      <c r="A33" s="106" t="s">
        <v>35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</row>
    <row r="34" spans="1:61" x14ac:dyDescent="0.3">
      <c r="A34" s="53" t="s">
        <v>106</v>
      </c>
      <c r="B34" s="6">
        <f t="shared" ref="B34:AG34" si="7">B23+B21+B17</f>
        <v>-44697.4</v>
      </c>
      <c r="C34" s="6">
        <f t="shared" si="7"/>
        <v>143367.6</v>
      </c>
      <c r="D34" s="6">
        <f t="shared" si="7"/>
        <v>-24447.4</v>
      </c>
      <c r="E34" s="6">
        <f t="shared" si="7"/>
        <v>-16097.4</v>
      </c>
      <c r="F34" s="6">
        <f t="shared" si="7"/>
        <v>15402.6</v>
      </c>
      <c r="G34" s="6">
        <f t="shared" si="7"/>
        <v>-75337.399999999994</v>
      </c>
      <c r="H34" s="6">
        <f t="shared" si="7"/>
        <v>-10337.4</v>
      </c>
      <c r="I34" s="6">
        <f t="shared" si="7"/>
        <v>-10837.4</v>
      </c>
      <c r="J34" s="6">
        <f t="shared" si="7"/>
        <v>-1337.3999999999996</v>
      </c>
      <c r="K34" s="6">
        <f t="shared" si="7"/>
        <v>25122.6</v>
      </c>
      <c r="L34" s="6">
        <f t="shared" si="7"/>
        <v>-18335.846108815425</v>
      </c>
      <c r="M34" s="6">
        <f t="shared" si="7"/>
        <v>117641.73653581267</v>
      </c>
      <c r="N34" s="6">
        <f t="shared" si="7"/>
        <v>-32395.09477444904</v>
      </c>
      <c r="O34" s="6">
        <f t="shared" si="7"/>
        <v>-22876.727178030302</v>
      </c>
      <c r="P34" s="6">
        <f t="shared" si="7"/>
        <v>-11343.979244146009</v>
      </c>
      <c r="Q34" s="6">
        <f t="shared" si="7"/>
        <v>-13649.165194559224</v>
      </c>
      <c r="R34" s="6">
        <f t="shared" si="7"/>
        <v>31886.818276515154</v>
      </c>
      <c r="S34" s="6">
        <f t="shared" si="7"/>
        <v>-3506.1651945592239</v>
      </c>
      <c r="T34" s="6">
        <f t="shared" si="7"/>
        <v>-36712.799621212122</v>
      </c>
      <c r="U34" s="6">
        <f t="shared" si="7"/>
        <v>-13669.097141873281</v>
      </c>
      <c r="V34" s="6">
        <f t="shared" si="7"/>
        <v>178631.02389807161</v>
      </c>
      <c r="W34" s="6">
        <f t="shared" si="7"/>
        <v>-57072.798415977959</v>
      </c>
      <c r="X34" s="6">
        <f t="shared" si="7"/>
        <v>-14883.521556473825</v>
      </c>
      <c r="Y34" s="6">
        <f t="shared" si="7"/>
        <v>-4502.9389118457184</v>
      </c>
      <c r="Z34" s="6">
        <f t="shared" si="7"/>
        <v>-43887.442794421484</v>
      </c>
      <c r="AA34" s="6">
        <f t="shared" si="7"/>
        <v>15178.028503787893</v>
      </c>
      <c r="AB34" s="6">
        <f t="shared" si="7"/>
        <v>-39023.611992079852</v>
      </c>
      <c r="AC34" s="6">
        <f t="shared" si="7"/>
        <v>55134.396272382946</v>
      </c>
      <c r="AD34" s="6">
        <f t="shared" si="7"/>
        <v>63317.433462465589</v>
      </c>
      <c r="AE34" s="6">
        <f t="shared" si="7"/>
        <v>82861.912801308557</v>
      </c>
      <c r="AF34" s="6">
        <f t="shared" si="7"/>
        <v>114205.14420626726</v>
      </c>
      <c r="AG34" s="6">
        <f t="shared" si="7"/>
        <v>15010.714454201108</v>
      </c>
      <c r="AH34" s="6">
        <f t="shared" ref="AH34:BI34" si="8">AH23+AH21+AH17</f>
        <v>102458.62354511023</v>
      </c>
      <c r="AI34" s="6">
        <f t="shared" si="8"/>
        <v>185385.01197486231</v>
      </c>
      <c r="AJ34" s="6">
        <f t="shared" si="8"/>
        <v>204444.49957816809</v>
      </c>
      <c r="AK34" s="6">
        <f t="shared" si="8"/>
        <v>232677.08635502757</v>
      </c>
      <c r="AL34" s="6">
        <f t="shared" si="8"/>
        <v>177993.70658766472</v>
      </c>
      <c r="AM34" s="6">
        <f t="shared" si="8"/>
        <v>279868.63220749947</v>
      </c>
      <c r="AN34" s="6">
        <f t="shared" si="8"/>
        <v>295447.41733146639</v>
      </c>
      <c r="AO34" s="6">
        <f t="shared" si="8"/>
        <v>348470.06195956556</v>
      </c>
      <c r="AP34" s="6">
        <f t="shared" si="8"/>
        <v>373752.70658766472</v>
      </c>
      <c r="AQ34" s="6">
        <f t="shared" si="8"/>
        <v>405035.35121576395</v>
      </c>
      <c r="AR34" s="6">
        <f t="shared" si="8"/>
        <v>442317.99584386311</v>
      </c>
      <c r="AS34" s="6">
        <f t="shared" si="8"/>
        <v>387600.64047196228</v>
      </c>
      <c r="AT34" s="6">
        <f t="shared" si="8"/>
        <v>498883.28510006133</v>
      </c>
      <c r="AU34" s="6">
        <f t="shared" si="8"/>
        <v>530165.9297281605</v>
      </c>
      <c r="AV34" s="6">
        <f t="shared" si="8"/>
        <v>561448.57435625966</v>
      </c>
      <c r="AW34" s="6">
        <f t="shared" si="8"/>
        <v>592731.21898435883</v>
      </c>
      <c r="AX34" s="59" t="e">
        <f t="shared" si="8"/>
        <v>#REF!</v>
      </c>
      <c r="AY34" s="59" t="e">
        <f t="shared" si="8"/>
        <v>#REF!</v>
      </c>
      <c r="AZ34" s="59" t="e">
        <f t="shared" si="8"/>
        <v>#REF!</v>
      </c>
      <c r="BA34" s="59" t="e">
        <f t="shared" si="8"/>
        <v>#REF!</v>
      </c>
      <c r="BB34" s="59" t="e">
        <f t="shared" si="8"/>
        <v>#REF!</v>
      </c>
      <c r="BC34" s="59" t="e">
        <f t="shared" si="8"/>
        <v>#REF!</v>
      </c>
      <c r="BD34" s="59" t="e">
        <f t="shared" si="8"/>
        <v>#REF!</v>
      </c>
      <c r="BE34" s="59" t="e">
        <f t="shared" si="8"/>
        <v>#REF!</v>
      </c>
      <c r="BF34" s="59" t="e">
        <f t="shared" si="8"/>
        <v>#REF!</v>
      </c>
      <c r="BG34" s="59" t="e">
        <f t="shared" si="8"/>
        <v>#REF!</v>
      </c>
      <c r="BH34" s="59" t="e">
        <f t="shared" si="8"/>
        <v>#REF!</v>
      </c>
      <c r="BI34" s="59" t="e">
        <f t="shared" si="8"/>
        <v>#REF!</v>
      </c>
    </row>
    <row r="35" spans="1:61" x14ac:dyDescent="0.3">
      <c r="A35" s="53" t="s">
        <v>107</v>
      </c>
      <c r="B35" s="6">
        <v>22000</v>
      </c>
      <c r="C35" s="6">
        <f>B36</f>
        <v>-22697.4</v>
      </c>
      <c r="D35" s="6">
        <f t="shared" ref="D35:BI35" si="9">C36</f>
        <v>120670.20000000001</v>
      </c>
      <c r="E35" s="6">
        <f t="shared" si="9"/>
        <v>96222.800000000017</v>
      </c>
      <c r="F35" s="6">
        <f t="shared" si="9"/>
        <v>80125.400000000023</v>
      </c>
      <c r="G35" s="6">
        <f t="shared" si="9"/>
        <v>95528.000000000029</v>
      </c>
      <c r="H35" s="6">
        <f t="shared" si="9"/>
        <v>20190.600000000035</v>
      </c>
      <c r="I35" s="6">
        <f t="shared" si="9"/>
        <v>9853.2000000000353</v>
      </c>
      <c r="J35" s="6">
        <f t="shared" si="9"/>
        <v>-984.19999999996435</v>
      </c>
      <c r="K35" s="6">
        <f t="shared" si="9"/>
        <v>-2321.599999999964</v>
      </c>
      <c r="L35" s="6">
        <f t="shared" si="9"/>
        <v>22801.000000000036</v>
      </c>
      <c r="M35" s="6">
        <f t="shared" si="9"/>
        <v>4465.153891184611</v>
      </c>
      <c r="N35" s="6">
        <f t="shared" si="9"/>
        <v>122106.89042699728</v>
      </c>
      <c r="O35" s="6">
        <f t="shared" si="9"/>
        <v>89711.795652548244</v>
      </c>
      <c r="P35" s="6">
        <f t="shared" si="9"/>
        <v>66835.068474517946</v>
      </c>
      <c r="Q35" s="6">
        <f t="shared" si="9"/>
        <v>55491.089230371937</v>
      </c>
      <c r="R35" s="6">
        <f t="shared" si="9"/>
        <v>41841.924035812714</v>
      </c>
      <c r="S35" s="6">
        <f t="shared" si="9"/>
        <v>73728.742312327871</v>
      </c>
      <c r="T35" s="6">
        <f t="shared" si="9"/>
        <v>70222.57711776864</v>
      </c>
      <c r="U35" s="6">
        <f t="shared" si="9"/>
        <v>33509.777496556519</v>
      </c>
      <c r="V35" s="6">
        <f t="shared" si="9"/>
        <v>19840.680354683238</v>
      </c>
      <c r="W35" s="6">
        <f t="shared" si="9"/>
        <v>198471.70425275486</v>
      </c>
      <c r="X35" s="6">
        <f t="shared" si="9"/>
        <v>141398.90583677689</v>
      </c>
      <c r="Y35" s="6">
        <f t="shared" si="9"/>
        <v>126515.38428030306</v>
      </c>
      <c r="Z35" s="6">
        <f t="shared" si="9"/>
        <v>122012.44536845734</v>
      </c>
      <c r="AA35" s="6">
        <f t="shared" si="9"/>
        <v>78125.002574035854</v>
      </c>
      <c r="AB35" s="6">
        <f t="shared" si="9"/>
        <v>93303.031077823747</v>
      </c>
      <c r="AC35" s="6">
        <f t="shared" si="9"/>
        <v>54279.419085743895</v>
      </c>
      <c r="AD35" s="6">
        <f t="shared" si="9"/>
        <v>109413.81535812684</v>
      </c>
      <c r="AE35" s="6">
        <f t="shared" si="9"/>
        <v>172731.24882059242</v>
      </c>
      <c r="AF35" s="6">
        <f t="shared" si="9"/>
        <v>255593.16162190097</v>
      </c>
      <c r="AG35" s="6">
        <f t="shared" si="9"/>
        <v>369798.30582816823</v>
      </c>
      <c r="AH35" s="6">
        <f t="shared" si="9"/>
        <v>384809.02028236934</v>
      </c>
      <c r="AI35" s="6">
        <f t="shared" si="9"/>
        <v>487267.64382747957</v>
      </c>
      <c r="AJ35" s="6">
        <f t="shared" si="9"/>
        <v>672652.65580234188</v>
      </c>
      <c r="AK35" s="6">
        <f t="shared" si="9"/>
        <v>877097.15538051003</v>
      </c>
      <c r="AL35" s="6">
        <f t="shared" si="9"/>
        <v>1109774.2417355375</v>
      </c>
      <c r="AM35" s="6">
        <f t="shared" si="9"/>
        <v>1287767.9483232023</v>
      </c>
      <c r="AN35" s="6">
        <f t="shared" si="9"/>
        <v>1567636.5805307017</v>
      </c>
      <c r="AO35" s="6">
        <f t="shared" si="9"/>
        <v>1863083.9978621681</v>
      </c>
      <c r="AP35" s="6">
        <f t="shared" si="9"/>
        <v>2211554.0598217337</v>
      </c>
      <c r="AQ35" s="6">
        <f t="shared" si="9"/>
        <v>2585306.7664093985</v>
      </c>
      <c r="AR35" s="6">
        <f t="shared" si="9"/>
        <v>2990342.1176251625</v>
      </c>
      <c r="AS35" s="6">
        <f t="shared" si="9"/>
        <v>3432660.1134690256</v>
      </c>
      <c r="AT35" s="6">
        <f t="shared" si="9"/>
        <v>3820260.7539409879</v>
      </c>
      <c r="AU35" s="6">
        <f t="shared" si="9"/>
        <v>4319144.0390410488</v>
      </c>
      <c r="AV35" s="6">
        <f t="shared" si="9"/>
        <v>4849309.9687692095</v>
      </c>
      <c r="AW35" s="6">
        <f t="shared" si="9"/>
        <v>5410758.5431254692</v>
      </c>
      <c r="AX35" s="59">
        <f t="shared" si="9"/>
        <v>6003489.7621098282</v>
      </c>
      <c r="AY35" s="59" t="e">
        <f t="shared" si="9"/>
        <v>#REF!</v>
      </c>
      <c r="AZ35" s="59" t="e">
        <f t="shared" si="9"/>
        <v>#REF!</v>
      </c>
      <c r="BA35" s="59" t="e">
        <f t="shared" si="9"/>
        <v>#REF!</v>
      </c>
      <c r="BB35" s="59" t="e">
        <f t="shared" si="9"/>
        <v>#REF!</v>
      </c>
      <c r="BC35" s="59" t="e">
        <f t="shared" si="9"/>
        <v>#REF!</v>
      </c>
      <c r="BD35" s="59" t="e">
        <f t="shared" si="9"/>
        <v>#REF!</v>
      </c>
      <c r="BE35" s="59" t="e">
        <f t="shared" si="9"/>
        <v>#REF!</v>
      </c>
      <c r="BF35" s="59" t="e">
        <f t="shared" si="9"/>
        <v>#REF!</v>
      </c>
      <c r="BG35" s="59" t="e">
        <f t="shared" si="9"/>
        <v>#REF!</v>
      </c>
      <c r="BH35" s="59" t="e">
        <f t="shared" si="9"/>
        <v>#REF!</v>
      </c>
      <c r="BI35" s="59" t="e">
        <f t="shared" si="9"/>
        <v>#REF!</v>
      </c>
    </row>
    <row r="36" spans="1:61" x14ac:dyDescent="0.3">
      <c r="A36" s="64" t="s">
        <v>108</v>
      </c>
      <c r="B36" s="105">
        <f>B35+B34</f>
        <v>-22697.4</v>
      </c>
      <c r="C36" s="105">
        <f>C35+C34</f>
        <v>120670.20000000001</v>
      </c>
      <c r="D36" s="105">
        <f t="shared" ref="D36:BI36" si="10">D35+D34</f>
        <v>96222.800000000017</v>
      </c>
      <c r="E36" s="105">
        <f t="shared" si="10"/>
        <v>80125.400000000023</v>
      </c>
      <c r="F36" s="105">
        <f t="shared" si="10"/>
        <v>95528.000000000029</v>
      </c>
      <c r="G36" s="105">
        <f t="shared" si="10"/>
        <v>20190.600000000035</v>
      </c>
      <c r="H36" s="105">
        <f t="shared" si="10"/>
        <v>9853.2000000000353</v>
      </c>
      <c r="I36" s="105">
        <f t="shared" si="10"/>
        <v>-984.19999999996435</v>
      </c>
      <c r="J36" s="105">
        <f t="shared" si="10"/>
        <v>-2321.599999999964</v>
      </c>
      <c r="K36" s="105">
        <f t="shared" si="10"/>
        <v>22801.000000000036</v>
      </c>
      <c r="L36" s="105">
        <f t="shared" si="10"/>
        <v>4465.153891184611</v>
      </c>
      <c r="M36" s="105">
        <f t="shared" si="10"/>
        <v>122106.89042699728</v>
      </c>
      <c r="N36" s="105">
        <f t="shared" si="10"/>
        <v>89711.795652548244</v>
      </c>
      <c r="O36" s="105">
        <f t="shared" si="10"/>
        <v>66835.068474517946</v>
      </c>
      <c r="P36" s="105">
        <f t="shared" si="10"/>
        <v>55491.089230371937</v>
      </c>
      <c r="Q36" s="105">
        <f t="shared" si="10"/>
        <v>41841.924035812714</v>
      </c>
      <c r="R36" s="105">
        <f t="shared" si="10"/>
        <v>73728.742312327871</v>
      </c>
      <c r="S36" s="105">
        <f t="shared" si="10"/>
        <v>70222.57711776864</v>
      </c>
      <c r="T36" s="105">
        <f t="shared" si="10"/>
        <v>33509.777496556519</v>
      </c>
      <c r="U36" s="105">
        <f t="shared" si="10"/>
        <v>19840.680354683238</v>
      </c>
      <c r="V36" s="105">
        <f t="shared" si="10"/>
        <v>198471.70425275486</v>
      </c>
      <c r="W36" s="105">
        <f t="shared" si="10"/>
        <v>141398.90583677689</v>
      </c>
      <c r="X36" s="105">
        <f t="shared" si="10"/>
        <v>126515.38428030306</v>
      </c>
      <c r="Y36" s="105">
        <f t="shared" si="10"/>
        <v>122012.44536845734</v>
      </c>
      <c r="Z36" s="105">
        <f t="shared" si="10"/>
        <v>78125.002574035854</v>
      </c>
      <c r="AA36" s="105">
        <f t="shared" si="10"/>
        <v>93303.031077823747</v>
      </c>
      <c r="AB36" s="105">
        <f t="shared" si="10"/>
        <v>54279.419085743895</v>
      </c>
      <c r="AC36" s="105">
        <f t="shared" si="10"/>
        <v>109413.81535812684</v>
      </c>
      <c r="AD36" s="105">
        <f t="shared" si="10"/>
        <v>172731.24882059242</v>
      </c>
      <c r="AE36" s="105">
        <f t="shared" si="10"/>
        <v>255593.16162190097</v>
      </c>
      <c r="AF36" s="105">
        <f t="shared" si="10"/>
        <v>369798.30582816823</v>
      </c>
      <c r="AG36" s="105">
        <f t="shared" si="10"/>
        <v>384809.02028236934</v>
      </c>
      <c r="AH36" s="105">
        <f t="shared" si="10"/>
        <v>487267.64382747957</v>
      </c>
      <c r="AI36" s="105">
        <f t="shared" si="10"/>
        <v>672652.65580234188</v>
      </c>
      <c r="AJ36" s="105">
        <f t="shared" si="10"/>
        <v>877097.15538051003</v>
      </c>
      <c r="AK36" s="105">
        <f t="shared" si="10"/>
        <v>1109774.2417355375</v>
      </c>
      <c r="AL36" s="105">
        <f t="shared" si="10"/>
        <v>1287767.9483232023</v>
      </c>
      <c r="AM36" s="105">
        <f t="shared" si="10"/>
        <v>1567636.5805307017</v>
      </c>
      <c r="AN36" s="105">
        <f t="shared" si="10"/>
        <v>1863083.9978621681</v>
      </c>
      <c r="AO36" s="105">
        <f t="shared" si="10"/>
        <v>2211554.0598217337</v>
      </c>
      <c r="AP36" s="105">
        <f t="shared" si="10"/>
        <v>2585306.7664093985</v>
      </c>
      <c r="AQ36" s="105">
        <f t="shared" si="10"/>
        <v>2990342.1176251625</v>
      </c>
      <c r="AR36" s="105">
        <f t="shared" si="10"/>
        <v>3432660.1134690256</v>
      </c>
      <c r="AS36" s="105">
        <f t="shared" si="10"/>
        <v>3820260.7539409879</v>
      </c>
      <c r="AT36" s="105">
        <f t="shared" si="10"/>
        <v>4319144.0390410488</v>
      </c>
      <c r="AU36" s="105">
        <f t="shared" si="10"/>
        <v>4849309.9687692095</v>
      </c>
      <c r="AV36" s="105">
        <f t="shared" si="10"/>
        <v>5410758.5431254692</v>
      </c>
      <c r="AW36" s="105">
        <f t="shared" si="10"/>
        <v>6003489.7621098282</v>
      </c>
      <c r="AX36" s="64" t="e">
        <f t="shared" si="10"/>
        <v>#REF!</v>
      </c>
      <c r="AY36" s="64" t="e">
        <f t="shared" si="10"/>
        <v>#REF!</v>
      </c>
      <c r="AZ36" s="64" t="e">
        <f t="shared" si="10"/>
        <v>#REF!</v>
      </c>
      <c r="BA36" s="64" t="e">
        <f t="shared" si="10"/>
        <v>#REF!</v>
      </c>
      <c r="BB36" s="64" t="e">
        <f t="shared" si="10"/>
        <v>#REF!</v>
      </c>
      <c r="BC36" s="64" t="e">
        <f t="shared" si="10"/>
        <v>#REF!</v>
      </c>
      <c r="BD36" s="64" t="e">
        <f t="shared" si="10"/>
        <v>#REF!</v>
      </c>
      <c r="BE36" s="64" t="e">
        <f t="shared" si="10"/>
        <v>#REF!</v>
      </c>
      <c r="BF36" s="64" t="e">
        <f t="shared" si="10"/>
        <v>#REF!</v>
      </c>
      <c r="BG36" s="64" t="e">
        <f t="shared" si="10"/>
        <v>#REF!</v>
      </c>
      <c r="BH36" s="64" t="e">
        <f t="shared" si="10"/>
        <v>#REF!</v>
      </c>
      <c r="BI36" s="64" t="e">
        <f t="shared" si="10"/>
        <v>#REF!</v>
      </c>
    </row>
    <row r="37" spans="1:61" x14ac:dyDescent="0.3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1:61" hidden="1" x14ac:dyDescent="0.3">
      <c r="A38" s="53" t="s">
        <v>29</v>
      </c>
      <c r="B38" s="7">
        <f>MIN(B36:M36)</f>
        <v>-22697.4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1:61" hidden="1" x14ac:dyDescent="0.3">
      <c r="A39" s="53" t="s">
        <v>30</v>
      </c>
      <c r="B39" s="7">
        <f>MIN(N36:Y36)</f>
        <v>19840.680354683238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</row>
    <row r="40" spans="1:61" hidden="1" x14ac:dyDescent="0.3">
      <c r="A40" s="53" t="s">
        <v>31</v>
      </c>
      <c r="B40" s="7">
        <f>MIN(Z36:AK36)</f>
        <v>54279.419085743895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1:61" hidden="1" x14ac:dyDescent="0.3">
      <c r="A41" s="53" t="s">
        <v>32</v>
      </c>
      <c r="B41" s="7">
        <f>MIN(AL36:AW36)</f>
        <v>1287767.9483232023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1:61" hidden="1" x14ac:dyDescent="0.3">
      <c r="A42" s="53" t="s">
        <v>33</v>
      </c>
      <c r="B42" s="7" t="e">
        <f>MIN(AX36:BI36)</f>
        <v>#REF!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1:61" hidden="1" x14ac:dyDescent="0.3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1:61" x14ac:dyDescent="0.3">
      <c r="A44" s="53" t="s">
        <v>109</v>
      </c>
      <c r="B44" s="7"/>
      <c r="C44" s="6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1:61" x14ac:dyDescent="0.3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1:61" x14ac:dyDescent="0.3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1:61" x14ac:dyDescent="0.3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1:61" x14ac:dyDescent="0.3">
      <c r="B48" s="59"/>
    </row>
    <row r="49" spans="2:2" x14ac:dyDescent="0.3">
      <c r="B49" s="59"/>
    </row>
  </sheetData>
  <mergeCells count="3">
    <mergeCell ref="B1:M1"/>
    <mergeCell ref="N1:Y1"/>
    <mergeCell ref="Z1:AK1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Hypotheses</vt:lpstr>
      <vt:lpstr>Payroll</vt:lpstr>
      <vt:lpstr>Monthly P&amp;L</vt:lpstr>
      <vt:lpstr>Annual P&amp;L </vt:lpstr>
      <vt:lpstr>Cashflow</vt:lpstr>
      <vt:lpstr>Besoin_de_financement_avec_15__de_marge_de_sécurité</vt:lpstr>
    </vt:vector>
  </TitlesOfParts>
  <Manager/>
  <Company>Grizli777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 Arrigo</dc:creator>
  <cp:keywords/>
  <dc:description/>
  <cp:lastModifiedBy>SPREDS</cp:lastModifiedBy>
  <cp:revision/>
  <dcterms:created xsi:type="dcterms:W3CDTF">2018-03-04T13:22:23Z</dcterms:created>
  <dcterms:modified xsi:type="dcterms:W3CDTF">2019-10-25T09:31:43Z</dcterms:modified>
  <cp:category/>
  <cp:contentStatus/>
</cp:coreProperties>
</file>