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226"/>
  <workbookPr showObjects="none" updateLinks="never" autoCompressPictures="0"/>
  <bookViews>
    <workbookView xWindow="0" yWindow="0" windowWidth="25600" windowHeight="14540"/>
  </bookViews>
  <sheets>
    <sheet name="Sales" sheetId="18" r:id="rId1"/>
    <sheet name="Costs" sheetId="8" r:id="rId2"/>
    <sheet name="Bottom up " sheetId="20" r:id="rId3"/>
    <sheet name="Leningen" sheetId="17" r:id="rId4"/>
    <sheet name="Forecast - Maand." sheetId="9" r:id="rId5"/>
    <sheet name="Bus plan" sheetId="13" r:id="rId6"/>
    <sheet name="Balans" sheetId="3" state="hidden" r:id="rId7"/>
    <sheet name="Cashflow" sheetId="4" state="hidden" r:id="rId8"/>
  </sheets>
  <externalReferences>
    <externalReference r:id="rId9"/>
  </externalReferences>
  <definedNames>
    <definedName name="estimatedcosts">'[1]Pricing &amp; sales estimates'!$F$40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O10" i="20" l="1"/>
  <c r="O11" i="20"/>
  <c r="O12" i="20"/>
  <c r="O58" i="20"/>
  <c r="O4" i="18"/>
  <c r="O5" i="18"/>
  <c r="L38" i="20"/>
  <c r="L39" i="20"/>
  <c r="M38" i="20"/>
  <c r="M39" i="20"/>
  <c r="N38" i="20"/>
  <c r="N39" i="20"/>
  <c r="N58" i="20"/>
  <c r="N4" i="18"/>
  <c r="N5" i="18"/>
  <c r="D18" i="20"/>
  <c r="D19" i="20"/>
  <c r="D20" i="20"/>
  <c r="D44" i="20"/>
  <c r="D45" i="20"/>
  <c r="D59" i="20"/>
  <c r="D17" i="18"/>
  <c r="D18" i="18"/>
  <c r="E18" i="20"/>
  <c r="E19" i="20"/>
  <c r="E20" i="20"/>
  <c r="E59" i="20"/>
  <c r="E17" i="18"/>
  <c r="E18" i="18"/>
  <c r="F18" i="20"/>
  <c r="F19" i="20"/>
  <c r="F20" i="20"/>
  <c r="F59" i="20"/>
  <c r="F17" i="18"/>
  <c r="F18" i="18"/>
  <c r="G18" i="20"/>
  <c r="G19" i="20"/>
  <c r="G20" i="20"/>
  <c r="G59" i="20"/>
  <c r="G17" i="18"/>
  <c r="G18" i="18"/>
  <c r="H18" i="20"/>
  <c r="H19" i="20"/>
  <c r="H20" i="20"/>
  <c r="H59" i="20"/>
  <c r="H17" i="18"/>
  <c r="H18" i="18"/>
  <c r="I18" i="20"/>
  <c r="I19" i="20"/>
  <c r="I20" i="20"/>
  <c r="I59" i="20"/>
  <c r="I17" i="18"/>
  <c r="I18" i="18"/>
  <c r="J18" i="20"/>
  <c r="J19" i="20"/>
  <c r="J20" i="20"/>
  <c r="J59" i="20"/>
  <c r="J17" i="18"/>
  <c r="J18" i="18"/>
  <c r="K18" i="20"/>
  <c r="K19" i="20"/>
  <c r="K20" i="20"/>
  <c r="K59" i="20"/>
  <c r="K17" i="18"/>
  <c r="K18" i="18"/>
  <c r="L18" i="20"/>
  <c r="L19" i="20"/>
  <c r="L20" i="20"/>
  <c r="L59" i="20"/>
  <c r="L17" i="18"/>
  <c r="L18" i="18"/>
  <c r="M18" i="20"/>
  <c r="M19" i="20"/>
  <c r="M20" i="20"/>
  <c r="M59" i="20"/>
  <c r="M17" i="18"/>
  <c r="M18" i="18"/>
  <c r="N18" i="20"/>
  <c r="N19" i="20"/>
  <c r="N20" i="20"/>
  <c r="N59" i="20"/>
  <c r="N17" i="18"/>
  <c r="N18" i="18"/>
  <c r="N21" i="18"/>
  <c r="N25" i="18"/>
  <c r="N22" i="18"/>
  <c r="N19" i="18"/>
  <c r="N23" i="18"/>
  <c r="N26" i="18"/>
  <c r="N9" i="18"/>
  <c r="N6" i="18"/>
  <c r="N10" i="18"/>
  <c r="N8" i="18"/>
  <c r="N12" i="18"/>
  <c r="N13" i="18"/>
  <c r="N27" i="18"/>
  <c r="N28" i="18"/>
  <c r="N29" i="18"/>
  <c r="Y13" i="9"/>
  <c r="K21" i="18"/>
  <c r="K25" i="18"/>
  <c r="K22" i="18"/>
  <c r="K19" i="18"/>
  <c r="K23" i="18"/>
  <c r="K26" i="18"/>
  <c r="K9" i="18"/>
  <c r="K10" i="18"/>
  <c r="K13" i="18"/>
  <c r="K27" i="18"/>
  <c r="K28" i="18"/>
  <c r="K29" i="18"/>
  <c r="AC64" i="8"/>
  <c r="Q64" i="8"/>
  <c r="K64" i="8"/>
  <c r="I24" i="9"/>
  <c r="AE33" i="18"/>
  <c r="V33" i="18"/>
  <c r="W33" i="18"/>
  <c r="X33" i="18"/>
  <c r="Y33" i="18"/>
  <c r="Z33" i="18"/>
  <c r="AA33" i="18"/>
  <c r="AB33" i="18"/>
  <c r="AC33" i="18"/>
  <c r="AD33" i="18"/>
  <c r="U33" i="18"/>
  <c r="T33" i="18"/>
  <c r="AE17" i="18"/>
  <c r="V17" i="18"/>
  <c r="W17" i="18"/>
  <c r="X17" i="18"/>
  <c r="Y17" i="18"/>
  <c r="Z17" i="18"/>
  <c r="AA17" i="18"/>
  <c r="AB17" i="18"/>
  <c r="AC17" i="18"/>
  <c r="AD17" i="18"/>
  <c r="U17" i="18"/>
  <c r="T17" i="18"/>
  <c r="AE4" i="18"/>
  <c r="V4" i="18"/>
  <c r="W4" i="18"/>
  <c r="X4" i="18"/>
  <c r="Y4" i="18"/>
  <c r="Z4" i="18"/>
  <c r="AA4" i="18"/>
  <c r="AB4" i="18"/>
  <c r="AC4" i="18"/>
  <c r="AD4" i="18"/>
  <c r="U4" i="18"/>
  <c r="AE34" i="18"/>
  <c r="V34" i="18"/>
  <c r="W34" i="18"/>
  <c r="X34" i="18"/>
  <c r="Y34" i="18"/>
  <c r="Z34" i="18"/>
  <c r="AA34" i="18"/>
  <c r="AB34" i="18"/>
  <c r="AC34" i="18"/>
  <c r="AD34" i="18"/>
  <c r="U34" i="18"/>
  <c r="T34" i="18"/>
  <c r="AE18" i="18"/>
  <c r="V18" i="18"/>
  <c r="W18" i="18"/>
  <c r="X18" i="18"/>
  <c r="Y18" i="18"/>
  <c r="Z18" i="18"/>
  <c r="AA18" i="18"/>
  <c r="AB18" i="18"/>
  <c r="AC18" i="18"/>
  <c r="AD18" i="18"/>
  <c r="U18" i="18"/>
  <c r="T18" i="18"/>
  <c r="O18" i="20"/>
  <c r="O19" i="20"/>
  <c r="O20" i="20"/>
  <c r="O59" i="20"/>
  <c r="O17" i="18"/>
  <c r="O18" i="18"/>
  <c r="D26" i="20"/>
  <c r="D27" i="20"/>
  <c r="D28" i="20"/>
  <c r="D60" i="20"/>
  <c r="D33" i="18"/>
  <c r="D34" i="18"/>
  <c r="D37" i="18"/>
  <c r="D41" i="18"/>
  <c r="D38" i="18"/>
  <c r="D35" i="18"/>
  <c r="D39" i="18"/>
  <c r="D42" i="18"/>
  <c r="E26" i="20"/>
  <c r="E27" i="20"/>
  <c r="E28" i="20"/>
  <c r="E60" i="20"/>
  <c r="E33" i="18"/>
  <c r="E34" i="18"/>
  <c r="E37" i="18"/>
  <c r="E41" i="18"/>
  <c r="E38" i="18"/>
  <c r="E35" i="18"/>
  <c r="E39" i="18"/>
  <c r="E42" i="18"/>
  <c r="F26" i="20"/>
  <c r="F27" i="20"/>
  <c r="F28" i="20"/>
  <c r="F60" i="20"/>
  <c r="F33" i="18"/>
  <c r="F34" i="18"/>
  <c r="F37" i="18"/>
  <c r="F41" i="18"/>
  <c r="F38" i="18"/>
  <c r="F35" i="18"/>
  <c r="F39" i="18"/>
  <c r="F42" i="18"/>
  <c r="G26" i="20"/>
  <c r="G27" i="20"/>
  <c r="G28" i="20"/>
  <c r="G60" i="20"/>
  <c r="G33" i="18"/>
  <c r="G34" i="18"/>
  <c r="G37" i="18"/>
  <c r="G41" i="18"/>
  <c r="G38" i="18"/>
  <c r="G35" i="18"/>
  <c r="G39" i="18"/>
  <c r="G42" i="18"/>
  <c r="H26" i="20"/>
  <c r="H27" i="20"/>
  <c r="H28" i="20"/>
  <c r="H60" i="20"/>
  <c r="H33" i="18"/>
  <c r="H34" i="18"/>
  <c r="H37" i="18"/>
  <c r="H41" i="18"/>
  <c r="H38" i="18"/>
  <c r="H35" i="18"/>
  <c r="H39" i="18"/>
  <c r="H42" i="18"/>
  <c r="I26" i="20"/>
  <c r="I27" i="20"/>
  <c r="I28" i="20"/>
  <c r="I60" i="20"/>
  <c r="I33" i="18"/>
  <c r="I34" i="18"/>
  <c r="I37" i="18"/>
  <c r="I41" i="18"/>
  <c r="I38" i="18"/>
  <c r="I35" i="18"/>
  <c r="I39" i="18"/>
  <c r="I42" i="18"/>
  <c r="J26" i="20"/>
  <c r="J27" i="20"/>
  <c r="J28" i="20"/>
  <c r="J60" i="20"/>
  <c r="J33" i="18"/>
  <c r="J34" i="18"/>
  <c r="J37" i="18"/>
  <c r="J41" i="18"/>
  <c r="J38" i="18"/>
  <c r="J35" i="18"/>
  <c r="J39" i="18"/>
  <c r="J42" i="18"/>
  <c r="K26" i="20"/>
  <c r="K27" i="20"/>
  <c r="K28" i="20"/>
  <c r="K60" i="20"/>
  <c r="K33" i="18"/>
  <c r="K34" i="18"/>
  <c r="K37" i="18"/>
  <c r="K41" i="18"/>
  <c r="K38" i="18"/>
  <c r="K35" i="18"/>
  <c r="K39" i="18"/>
  <c r="K42" i="18"/>
  <c r="L26" i="20"/>
  <c r="L27" i="20"/>
  <c r="L28" i="20"/>
  <c r="L60" i="20"/>
  <c r="L33" i="18"/>
  <c r="L34" i="18"/>
  <c r="L37" i="18"/>
  <c r="L41" i="18"/>
  <c r="L38" i="18"/>
  <c r="L35" i="18"/>
  <c r="L39" i="18"/>
  <c r="L42" i="18"/>
  <c r="M26" i="20"/>
  <c r="M27" i="20"/>
  <c r="M28" i="20"/>
  <c r="M60" i="20"/>
  <c r="M33" i="18"/>
  <c r="M34" i="18"/>
  <c r="M37" i="18"/>
  <c r="M41" i="18"/>
  <c r="M38" i="18"/>
  <c r="M35" i="18"/>
  <c r="M39" i="18"/>
  <c r="M42" i="18"/>
  <c r="N26" i="20"/>
  <c r="N27" i="20"/>
  <c r="N28" i="20"/>
  <c r="N60" i="20"/>
  <c r="N33" i="18"/>
  <c r="N34" i="18"/>
  <c r="N37" i="18"/>
  <c r="N41" i="18"/>
  <c r="N38" i="18"/>
  <c r="N35" i="18"/>
  <c r="N39" i="18"/>
  <c r="N42" i="18"/>
  <c r="O26" i="20"/>
  <c r="O27" i="20"/>
  <c r="O28" i="20"/>
  <c r="O60" i="20"/>
  <c r="O33" i="18"/>
  <c r="O34" i="18"/>
  <c r="O37" i="18"/>
  <c r="O41" i="18"/>
  <c r="O38" i="18"/>
  <c r="O35" i="18"/>
  <c r="O39" i="18"/>
  <c r="O42" i="18"/>
  <c r="P42" i="18"/>
  <c r="P33" i="18"/>
  <c r="Q10" i="13"/>
  <c r="Q11" i="13"/>
  <c r="Q12" i="13"/>
  <c r="Q13" i="13"/>
  <c r="Q14" i="13"/>
  <c r="Q20" i="13"/>
  <c r="Q21" i="13"/>
  <c r="Q22" i="13"/>
  <c r="Q23" i="13"/>
  <c r="Q24" i="13"/>
  <c r="Q25" i="13"/>
  <c r="Q26" i="13"/>
  <c r="Q27" i="13"/>
  <c r="Q28" i="13"/>
  <c r="Q29" i="13"/>
  <c r="Q30" i="13"/>
  <c r="Q19" i="13"/>
  <c r="D21" i="18"/>
  <c r="D25" i="18"/>
  <c r="D22" i="18"/>
  <c r="D19" i="18"/>
  <c r="D23" i="18"/>
  <c r="D26" i="18"/>
  <c r="E21" i="18"/>
  <c r="E25" i="18"/>
  <c r="E22" i="18"/>
  <c r="E19" i="18"/>
  <c r="E23" i="18"/>
  <c r="E26" i="18"/>
  <c r="F21" i="18"/>
  <c r="F25" i="18"/>
  <c r="F22" i="18"/>
  <c r="F19" i="18"/>
  <c r="F23" i="18"/>
  <c r="F26" i="18"/>
  <c r="G21" i="18"/>
  <c r="G25" i="18"/>
  <c r="G22" i="18"/>
  <c r="G19" i="18"/>
  <c r="G23" i="18"/>
  <c r="G26" i="18"/>
  <c r="H21" i="18"/>
  <c r="H25" i="18"/>
  <c r="H22" i="18"/>
  <c r="H19" i="18"/>
  <c r="H23" i="18"/>
  <c r="H26" i="18"/>
  <c r="I21" i="18"/>
  <c r="I25" i="18"/>
  <c r="I22" i="18"/>
  <c r="I19" i="18"/>
  <c r="I23" i="18"/>
  <c r="I26" i="18"/>
  <c r="J21" i="18"/>
  <c r="J25" i="18"/>
  <c r="J22" i="18"/>
  <c r="J19" i="18"/>
  <c r="J23" i="18"/>
  <c r="J26" i="18"/>
  <c r="L21" i="18"/>
  <c r="L25" i="18"/>
  <c r="L22" i="18"/>
  <c r="L19" i="18"/>
  <c r="L23" i="18"/>
  <c r="L26" i="18"/>
  <c r="M21" i="18"/>
  <c r="M25" i="18"/>
  <c r="M22" i="18"/>
  <c r="M19" i="18"/>
  <c r="M23" i="18"/>
  <c r="M26" i="18"/>
  <c r="O21" i="18"/>
  <c r="O25" i="18"/>
  <c r="O22" i="18"/>
  <c r="O19" i="18"/>
  <c r="O23" i="18"/>
  <c r="O26" i="18"/>
  <c r="P26" i="18"/>
  <c r="P17" i="18"/>
  <c r="L10" i="13"/>
  <c r="L11" i="13"/>
  <c r="L12" i="13"/>
  <c r="L13" i="13"/>
  <c r="L14" i="13"/>
  <c r="L20" i="13"/>
  <c r="L21" i="13"/>
  <c r="L22" i="13"/>
  <c r="L23" i="13"/>
  <c r="L24" i="13"/>
  <c r="L25" i="13"/>
  <c r="L26" i="13"/>
  <c r="L27" i="13"/>
  <c r="L28" i="13"/>
  <c r="L29" i="13"/>
  <c r="L30" i="13"/>
  <c r="L19" i="13"/>
  <c r="O9" i="18"/>
  <c r="O6" i="18"/>
  <c r="O10" i="18"/>
  <c r="O8" i="18"/>
  <c r="O12" i="18"/>
  <c r="O13" i="18"/>
  <c r="D9" i="18"/>
  <c r="D10" i="18"/>
  <c r="D13" i="18"/>
  <c r="E9" i="18"/>
  <c r="E10" i="18"/>
  <c r="E13" i="18"/>
  <c r="F9" i="18"/>
  <c r="F10" i="18"/>
  <c r="F13" i="18"/>
  <c r="G9" i="18"/>
  <c r="G10" i="18"/>
  <c r="G13" i="18"/>
  <c r="H9" i="18"/>
  <c r="H10" i="18"/>
  <c r="H13" i="18"/>
  <c r="I9" i="18"/>
  <c r="I10" i="18"/>
  <c r="I13" i="18"/>
  <c r="J9" i="18"/>
  <c r="J10" i="18"/>
  <c r="J13" i="18"/>
  <c r="L9" i="18"/>
  <c r="L10" i="18"/>
  <c r="L13" i="18"/>
  <c r="M9" i="18"/>
  <c r="M10" i="18"/>
  <c r="M13" i="18"/>
  <c r="P13" i="18"/>
  <c r="G10" i="13"/>
  <c r="G11" i="13"/>
  <c r="G14" i="13"/>
  <c r="G20" i="13"/>
  <c r="G21" i="13"/>
  <c r="G22" i="13"/>
  <c r="G23" i="13"/>
  <c r="G24" i="13"/>
  <c r="G25" i="13"/>
  <c r="G26" i="13"/>
  <c r="G27" i="13"/>
  <c r="G28" i="13"/>
  <c r="G29" i="13"/>
  <c r="G30" i="13"/>
  <c r="G19" i="13"/>
  <c r="P4" i="18"/>
  <c r="D19" i="13"/>
  <c r="E19" i="13"/>
  <c r="F19" i="13"/>
  <c r="H19" i="13"/>
  <c r="I19" i="13"/>
  <c r="J19" i="13"/>
  <c r="K19" i="13"/>
  <c r="M19" i="13"/>
  <c r="N19" i="13"/>
  <c r="O19" i="13"/>
  <c r="P19" i="13"/>
  <c r="C19" i="13"/>
  <c r="C21" i="13"/>
  <c r="D21" i="13"/>
  <c r="E21" i="13"/>
  <c r="F21" i="13"/>
  <c r="H21" i="13"/>
  <c r="I21" i="13"/>
  <c r="J21" i="13"/>
  <c r="K21" i="13"/>
  <c r="M21" i="13"/>
  <c r="N21" i="13"/>
  <c r="O21" i="13"/>
  <c r="P21" i="13"/>
  <c r="C22" i="13"/>
  <c r="D22" i="13"/>
  <c r="E22" i="13"/>
  <c r="F22" i="13"/>
  <c r="H22" i="13"/>
  <c r="I22" i="13"/>
  <c r="J22" i="13"/>
  <c r="K22" i="13"/>
  <c r="M22" i="13"/>
  <c r="N22" i="13"/>
  <c r="O22" i="13"/>
  <c r="P22" i="13"/>
  <c r="C23" i="13"/>
  <c r="D23" i="13"/>
  <c r="E23" i="13"/>
  <c r="F23" i="13"/>
  <c r="H23" i="13"/>
  <c r="I23" i="13"/>
  <c r="J23" i="13"/>
  <c r="K23" i="13"/>
  <c r="M23" i="13"/>
  <c r="N23" i="13"/>
  <c r="O23" i="13"/>
  <c r="P23" i="13"/>
  <c r="C24" i="13"/>
  <c r="D24" i="13"/>
  <c r="E24" i="13"/>
  <c r="F24" i="13"/>
  <c r="H24" i="13"/>
  <c r="I24" i="13"/>
  <c r="J24" i="13"/>
  <c r="K24" i="13"/>
  <c r="M24" i="13"/>
  <c r="N24" i="13"/>
  <c r="O24" i="13"/>
  <c r="P24" i="13"/>
  <c r="C25" i="13"/>
  <c r="D25" i="13"/>
  <c r="E25" i="13"/>
  <c r="F25" i="13"/>
  <c r="H25" i="13"/>
  <c r="I25" i="13"/>
  <c r="J25" i="13"/>
  <c r="K25" i="13"/>
  <c r="M25" i="13"/>
  <c r="N25" i="13"/>
  <c r="O25" i="13"/>
  <c r="P25" i="13"/>
  <c r="C26" i="13"/>
  <c r="D26" i="13"/>
  <c r="E26" i="13"/>
  <c r="F26" i="13"/>
  <c r="H26" i="13"/>
  <c r="I26" i="13"/>
  <c r="J26" i="13"/>
  <c r="K26" i="13"/>
  <c r="M26" i="13"/>
  <c r="N26" i="13"/>
  <c r="O26" i="13"/>
  <c r="P26" i="13"/>
  <c r="C27" i="13"/>
  <c r="D27" i="13"/>
  <c r="E27" i="13"/>
  <c r="F27" i="13"/>
  <c r="H27" i="13"/>
  <c r="I27" i="13"/>
  <c r="J27" i="13"/>
  <c r="K27" i="13"/>
  <c r="M27" i="13"/>
  <c r="N27" i="13"/>
  <c r="O27" i="13"/>
  <c r="P27" i="13"/>
  <c r="C28" i="13"/>
  <c r="D28" i="13"/>
  <c r="E28" i="13"/>
  <c r="F28" i="13"/>
  <c r="H28" i="13"/>
  <c r="I28" i="13"/>
  <c r="J28" i="13"/>
  <c r="K28" i="13"/>
  <c r="M28" i="13"/>
  <c r="N28" i="13"/>
  <c r="O28" i="13"/>
  <c r="P28" i="13"/>
  <c r="C29" i="13"/>
  <c r="D29" i="13"/>
  <c r="E29" i="13"/>
  <c r="F29" i="13"/>
  <c r="H29" i="13"/>
  <c r="I29" i="13"/>
  <c r="J29" i="13"/>
  <c r="K29" i="13"/>
  <c r="M29" i="13"/>
  <c r="N29" i="13"/>
  <c r="O29" i="13"/>
  <c r="P29" i="13"/>
  <c r="C30" i="13"/>
  <c r="D30" i="13"/>
  <c r="E30" i="13"/>
  <c r="F30" i="13"/>
  <c r="H30" i="13"/>
  <c r="I30" i="13"/>
  <c r="J30" i="13"/>
  <c r="K30" i="13"/>
  <c r="M30" i="13"/>
  <c r="N30" i="13"/>
  <c r="O30" i="13"/>
  <c r="P30" i="13"/>
  <c r="C9" i="13"/>
  <c r="C10" i="13"/>
  <c r="C11" i="13"/>
  <c r="C12" i="13"/>
  <c r="C13" i="13"/>
  <c r="C14" i="13"/>
  <c r="C15" i="13"/>
  <c r="C16" i="13"/>
  <c r="C8" i="13"/>
  <c r="D9" i="13"/>
  <c r="D10" i="13"/>
  <c r="D11" i="13"/>
  <c r="D12" i="13"/>
  <c r="D13" i="13"/>
  <c r="D14" i="13"/>
  <c r="D15" i="13"/>
  <c r="D16" i="13"/>
  <c r="D8" i="13"/>
  <c r="E9" i="13"/>
  <c r="E10" i="13"/>
  <c r="E11" i="13"/>
  <c r="E12" i="13"/>
  <c r="E13" i="13"/>
  <c r="E14" i="13"/>
  <c r="E15" i="13"/>
  <c r="E16" i="13"/>
  <c r="E8" i="13"/>
  <c r="F9" i="13"/>
  <c r="F10" i="13"/>
  <c r="F11" i="13"/>
  <c r="F12" i="13"/>
  <c r="F13" i="13"/>
  <c r="F14" i="13"/>
  <c r="F15" i="13"/>
  <c r="F16" i="13"/>
  <c r="F8" i="13"/>
  <c r="G8" i="13"/>
  <c r="C18" i="13"/>
  <c r="C17" i="13"/>
  <c r="D18" i="13"/>
  <c r="D17" i="13"/>
  <c r="E18" i="13"/>
  <c r="E17" i="13"/>
  <c r="F18" i="13"/>
  <c r="F17" i="13"/>
  <c r="G17" i="13"/>
  <c r="C20" i="13"/>
  <c r="D20" i="13"/>
  <c r="E20" i="13"/>
  <c r="F20" i="13"/>
  <c r="C32" i="13"/>
  <c r="D32" i="13"/>
  <c r="E32" i="13"/>
  <c r="F32" i="13"/>
  <c r="G32" i="13"/>
  <c r="C33" i="13"/>
  <c r="D33" i="13"/>
  <c r="E33" i="13"/>
  <c r="F33" i="13"/>
  <c r="G33" i="13"/>
  <c r="C34" i="13"/>
  <c r="D34" i="13"/>
  <c r="E34" i="13"/>
  <c r="F34" i="13"/>
  <c r="G34" i="13"/>
  <c r="G31" i="13"/>
  <c r="C36" i="13"/>
  <c r="C37" i="13"/>
  <c r="C38" i="13"/>
  <c r="C39" i="13"/>
  <c r="C40" i="13"/>
  <c r="C41" i="13"/>
  <c r="C42" i="13"/>
  <c r="C35" i="13"/>
  <c r="D36" i="13"/>
  <c r="D37" i="13"/>
  <c r="D38" i="13"/>
  <c r="D39" i="13"/>
  <c r="D40" i="13"/>
  <c r="D41" i="13"/>
  <c r="D42" i="13"/>
  <c r="D35" i="13"/>
  <c r="E36" i="13"/>
  <c r="E37" i="13"/>
  <c r="E38" i="13"/>
  <c r="E39" i="13"/>
  <c r="E40" i="13"/>
  <c r="E41" i="13"/>
  <c r="E42" i="13"/>
  <c r="E35" i="13"/>
  <c r="F36" i="13"/>
  <c r="F37" i="13"/>
  <c r="F38" i="13"/>
  <c r="F39" i="13"/>
  <c r="F40" i="13"/>
  <c r="F41" i="13"/>
  <c r="F42" i="13"/>
  <c r="F35" i="13"/>
  <c r="G35" i="13"/>
  <c r="C44" i="13"/>
  <c r="C43" i="13"/>
  <c r="D44" i="13"/>
  <c r="D43" i="13"/>
  <c r="E44" i="13"/>
  <c r="E43" i="13"/>
  <c r="F44" i="13"/>
  <c r="F43" i="13"/>
  <c r="G43" i="13"/>
  <c r="C46" i="13"/>
  <c r="C45" i="13"/>
  <c r="D46" i="13"/>
  <c r="D45" i="13"/>
  <c r="E46" i="13"/>
  <c r="E45" i="13"/>
  <c r="F46" i="13"/>
  <c r="F45" i="13"/>
  <c r="G45" i="13"/>
  <c r="G7" i="13"/>
  <c r="G12" i="13"/>
  <c r="H12" i="13"/>
  <c r="I12" i="13"/>
  <c r="J12" i="13"/>
  <c r="K12" i="13"/>
  <c r="M12" i="13"/>
  <c r="N12" i="13"/>
  <c r="O12" i="13"/>
  <c r="P12" i="13"/>
  <c r="G13" i="13"/>
  <c r="H13" i="13"/>
  <c r="I13" i="13"/>
  <c r="J13" i="13"/>
  <c r="K13" i="13"/>
  <c r="M13" i="13"/>
  <c r="N13" i="13"/>
  <c r="O13" i="13"/>
  <c r="P13" i="13"/>
  <c r="H14" i="13"/>
  <c r="I14" i="13"/>
  <c r="J14" i="13"/>
  <c r="K14" i="13"/>
  <c r="M14" i="13"/>
  <c r="N14" i="13"/>
  <c r="O14" i="13"/>
  <c r="P14" i="13"/>
  <c r="G15" i="13"/>
  <c r="H15" i="13"/>
  <c r="I15" i="13"/>
  <c r="J15" i="13"/>
  <c r="K15" i="13"/>
  <c r="L15" i="13"/>
  <c r="M15" i="13"/>
  <c r="N15" i="13"/>
  <c r="O15" i="13"/>
  <c r="P15" i="13"/>
  <c r="Q15" i="13"/>
  <c r="G16" i="13"/>
  <c r="H16" i="13"/>
  <c r="I16" i="13"/>
  <c r="J16" i="13"/>
  <c r="K16" i="13"/>
  <c r="L16" i="13"/>
  <c r="M16" i="13"/>
  <c r="N16" i="13"/>
  <c r="O16" i="13"/>
  <c r="P16" i="13"/>
  <c r="Q16" i="13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E51" i="8"/>
  <c r="R64" i="8"/>
  <c r="S64" i="8"/>
  <c r="T64" i="8"/>
  <c r="U64" i="8"/>
  <c r="V64" i="8"/>
  <c r="W64" i="8"/>
  <c r="X64" i="8"/>
  <c r="Y64" i="8"/>
  <c r="Z64" i="8"/>
  <c r="AA64" i="8"/>
  <c r="AB64" i="8"/>
  <c r="AD64" i="8"/>
  <c r="AE64" i="8"/>
  <c r="AF64" i="8"/>
  <c r="AG64" i="8"/>
  <c r="AH64" i="8"/>
  <c r="AI64" i="8"/>
  <c r="AJ64" i="8"/>
  <c r="AK64" i="8"/>
  <c r="AL64" i="8"/>
  <c r="AM64" i="8"/>
  <c r="AN64" i="8"/>
  <c r="AQ64" i="8"/>
  <c r="AP64" i="8"/>
  <c r="AO64" i="8"/>
  <c r="AQ51" i="8"/>
  <c r="AQ3" i="8"/>
  <c r="AP51" i="8"/>
  <c r="AP3" i="8"/>
  <c r="AO51" i="8"/>
  <c r="AO3" i="8"/>
  <c r="P64" i="8"/>
  <c r="M64" i="8"/>
  <c r="L64" i="8"/>
  <c r="N64" i="8"/>
  <c r="O64" i="8"/>
  <c r="H10" i="13"/>
  <c r="I10" i="13"/>
  <c r="J10" i="13"/>
  <c r="K10" i="13"/>
  <c r="M10" i="13"/>
  <c r="N10" i="13"/>
  <c r="O10" i="13"/>
  <c r="P10" i="13"/>
  <c r="H11" i="13"/>
  <c r="I11" i="13"/>
  <c r="J11" i="13"/>
  <c r="K11" i="13"/>
  <c r="M11" i="13"/>
  <c r="N11" i="13"/>
  <c r="O11" i="13"/>
  <c r="P11" i="13"/>
  <c r="O27" i="18"/>
  <c r="O43" i="18"/>
  <c r="L79" i="18"/>
  <c r="L80" i="18"/>
  <c r="D44" i="18"/>
  <c r="D27" i="18"/>
  <c r="D43" i="18"/>
  <c r="L81" i="18"/>
  <c r="E44" i="18"/>
  <c r="E27" i="18"/>
  <c r="E43" i="18"/>
  <c r="L82" i="18"/>
  <c r="F44" i="18"/>
  <c r="F27" i="18"/>
  <c r="F43" i="18"/>
  <c r="L83" i="18"/>
  <c r="G44" i="18"/>
  <c r="G27" i="18"/>
  <c r="G43" i="18"/>
  <c r="L84" i="18"/>
  <c r="H44" i="18"/>
  <c r="H27" i="18"/>
  <c r="H43" i="18"/>
  <c r="L85" i="18"/>
  <c r="I44" i="18"/>
  <c r="I27" i="18"/>
  <c r="I43" i="18"/>
  <c r="L86" i="18"/>
  <c r="J44" i="18"/>
  <c r="J27" i="18"/>
  <c r="J43" i="18"/>
  <c r="L87" i="18"/>
  <c r="K44" i="18"/>
  <c r="K43" i="18"/>
  <c r="L88" i="18"/>
  <c r="L44" i="18"/>
  <c r="L27" i="18"/>
  <c r="L43" i="18"/>
  <c r="L89" i="18"/>
  <c r="M27" i="18"/>
  <c r="L78" i="18"/>
  <c r="L69" i="18"/>
  <c r="H44" i="20"/>
  <c r="H45" i="20"/>
  <c r="H50" i="20"/>
  <c r="H51" i="20"/>
  <c r="P60" i="20"/>
  <c r="P59" i="20"/>
  <c r="P58" i="20"/>
  <c r="AL28" i="8"/>
  <c r="AM28" i="8"/>
  <c r="AN28" i="8"/>
  <c r="AK28" i="8"/>
  <c r="Z28" i="8"/>
  <c r="AA28" i="8"/>
  <c r="AB28" i="8"/>
  <c r="AC28" i="8"/>
  <c r="AD28" i="8"/>
  <c r="AE28" i="8"/>
  <c r="AF28" i="8"/>
  <c r="AG28" i="8"/>
  <c r="AH28" i="8"/>
  <c r="Y28" i="8"/>
  <c r="V28" i="8"/>
  <c r="U28" i="8"/>
  <c r="T28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W11" i="8"/>
  <c r="M10" i="8"/>
  <c r="P7" i="8"/>
  <c r="O7" i="8"/>
  <c r="N7" i="8"/>
  <c r="M7" i="8"/>
  <c r="Q7" i="8"/>
  <c r="M44" i="18"/>
  <c r="N44" i="18"/>
  <c r="O44" i="18"/>
  <c r="N43" i="18"/>
  <c r="P25" i="20"/>
  <c r="P26" i="20"/>
  <c r="P17" i="20"/>
  <c r="P18" i="20"/>
  <c r="P9" i="20"/>
  <c r="E50" i="20"/>
  <c r="E51" i="20"/>
  <c r="F50" i="20"/>
  <c r="F51" i="20"/>
  <c r="G50" i="20"/>
  <c r="G51" i="20"/>
  <c r="I50" i="20"/>
  <c r="I51" i="20"/>
  <c r="J50" i="20"/>
  <c r="J51" i="20"/>
  <c r="K50" i="20"/>
  <c r="K51" i="20"/>
  <c r="L50" i="20"/>
  <c r="L51" i="20"/>
  <c r="M50" i="20"/>
  <c r="M51" i="20"/>
  <c r="N50" i="20"/>
  <c r="N51" i="20"/>
  <c r="O50" i="20"/>
  <c r="O51" i="20"/>
  <c r="D50" i="20"/>
  <c r="D51" i="20"/>
  <c r="E44" i="20"/>
  <c r="E45" i="20"/>
  <c r="F44" i="20"/>
  <c r="F45" i="20"/>
  <c r="G44" i="20"/>
  <c r="G45" i="20"/>
  <c r="I44" i="20"/>
  <c r="I45" i="20"/>
  <c r="J44" i="20"/>
  <c r="J45" i="20"/>
  <c r="K44" i="20"/>
  <c r="K45" i="20"/>
  <c r="M44" i="20"/>
  <c r="M45" i="20"/>
  <c r="N44" i="20"/>
  <c r="N45" i="20"/>
  <c r="O44" i="20"/>
  <c r="O45" i="20"/>
  <c r="L44" i="20"/>
  <c r="L45" i="20"/>
  <c r="P51" i="20"/>
  <c r="P50" i="20"/>
  <c r="P49" i="20"/>
  <c r="P45" i="20"/>
  <c r="P44" i="20"/>
  <c r="P43" i="20"/>
  <c r="O38" i="20"/>
  <c r="O39" i="20"/>
  <c r="P39" i="20"/>
  <c r="P38" i="20"/>
  <c r="P37" i="20"/>
  <c r="P28" i="20"/>
  <c r="P27" i="20"/>
  <c r="P24" i="20"/>
  <c r="P20" i="20"/>
  <c r="P19" i="20"/>
  <c r="P16" i="20"/>
  <c r="P8" i="20"/>
  <c r="P12" i="20"/>
  <c r="P11" i="20"/>
  <c r="P10" i="20"/>
  <c r="I30" i="9"/>
  <c r="I31" i="9"/>
  <c r="I32" i="9"/>
  <c r="I33" i="9"/>
  <c r="I34" i="9"/>
  <c r="I35" i="9"/>
  <c r="I36" i="9"/>
  <c r="N33" i="17"/>
  <c r="O33" i="17"/>
  <c r="N34" i="17"/>
  <c r="O34" i="17"/>
  <c r="N35" i="17"/>
  <c r="O35" i="17"/>
  <c r="M40" i="9"/>
  <c r="N40" i="9"/>
  <c r="O40" i="9"/>
  <c r="P40" i="9"/>
  <c r="Q40" i="9"/>
  <c r="R40" i="9"/>
  <c r="S40" i="9"/>
  <c r="T40" i="9"/>
  <c r="U40" i="9"/>
  <c r="D26" i="17"/>
  <c r="V40" i="9"/>
  <c r="W40" i="9"/>
  <c r="P33" i="17"/>
  <c r="X40" i="9"/>
  <c r="Q33" i="17"/>
  <c r="Y40" i="9"/>
  <c r="R33" i="17"/>
  <c r="Z40" i="9"/>
  <c r="S33" i="17"/>
  <c r="AA40" i="9"/>
  <c r="T33" i="17"/>
  <c r="AB40" i="9"/>
  <c r="U33" i="17"/>
  <c r="AC40" i="9"/>
  <c r="V33" i="17"/>
  <c r="AD40" i="9"/>
  <c r="W33" i="17"/>
  <c r="AE40" i="9"/>
  <c r="X33" i="17"/>
  <c r="AF40" i="9"/>
  <c r="Y33" i="17"/>
  <c r="AG40" i="9"/>
  <c r="Z33" i="17"/>
  <c r="AH40" i="9"/>
  <c r="AA33" i="17"/>
  <c r="AI40" i="9"/>
  <c r="AB33" i="17"/>
  <c r="AJ40" i="9"/>
  <c r="AC33" i="17"/>
  <c r="AK40" i="9"/>
  <c r="AD33" i="17"/>
  <c r="AL40" i="9"/>
  <c r="L40" i="9"/>
  <c r="K40" i="9"/>
  <c r="J40" i="9"/>
  <c r="D34" i="17"/>
  <c r="O56" i="8"/>
  <c r="E34" i="17"/>
  <c r="P56" i="8"/>
  <c r="F34" i="17"/>
  <c r="Q56" i="8"/>
  <c r="G34" i="17"/>
  <c r="R56" i="8"/>
  <c r="H34" i="17"/>
  <c r="S56" i="8"/>
  <c r="I34" i="17"/>
  <c r="T56" i="8"/>
  <c r="J34" i="17"/>
  <c r="U56" i="8"/>
  <c r="K34" i="17"/>
  <c r="V56" i="8"/>
  <c r="L34" i="17"/>
  <c r="W56" i="8"/>
  <c r="M34" i="17"/>
  <c r="X56" i="8"/>
  <c r="Y56" i="8"/>
  <c r="Z56" i="8"/>
  <c r="P34" i="17"/>
  <c r="AA56" i="8"/>
  <c r="Q34" i="17"/>
  <c r="AB56" i="8"/>
  <c r="R34" i="17"/>
  <c r="AC56" i="8"/>
  <c r="S34" i="17"/>
  <c r="AD56" i="8"/>
  <c r="T34" i="17"/>
  <c r="AE56" i="8"/>
  <c r="U34" i="17"/>
  <c r="AF56" i="8"/>
  <c r="V34" i="17"/>
  <c r="AG56" i="8"/>
  <c r="W34" i="17"/>
  <c r="AH56" i="8"/>
  <c r="X34" i="17"/>
  <c r="AI56" i="8"/>
  <c r="Y34" i="17"/>
  <c r="AJ56" i="8"/>
  <c r="Z34" i="17"/>
  <c r="AK56" i="8"/>
  <c r="AA34" i="17"/>
  <c r="AL56" i="8"/>
  <c r="AB34" i="17"/>
  <c r="AM56" i="8"/>
  <c r="AC34" i="17"/>
  <c r="AN56" i="8"/>
  <c r="N56" i="8"/>
  <c r="L56" i="8"/>
  <c r="M56" i="8"/>
  <c r="K56" i="8"/>
  <c r="M46" i="13"/>
  <c r="M45" i="13"/>
  <c r="N46" i="13"/>
  <c r="N45" i="13"/>
  <c r="O46" i="13"/>
  <c r="O45" i="13"/>
  <c r="P46" i="13"/>
  <c r="P45" i="13"/>
  <c r="Q45" i="13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D41" i="9"/>
  <c r="E41" i="9"/>
  <c r="F41" i="9"/>
  <c r="G41" i="9"/>
  <c r="H41" i="9"/>
  <c r="I40" i="9"/>
  <c r="I39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C41" i="9"/>
  <c r="K46" i="13"/>
  <c r="J46" i="13"/>
  <c r="I46" i="13"/>
  <c r="H46" i="13"/>
  <c r="Q46" i="13"/>
  <c r="L46" i="13"/>
  <c r="G46" i="13"/>
  <c r="AQ56" i="8"/>
  <c r="AP56" i="8"/>
  <c r="AO56" i="8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E29" i="17"/>
  <c r="E11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C35" i="17"/>
  <c r="D35" i="17"/>
  <c r="E35" i="17"/>
  <c r="F35" i="17"/>
  <c r="G35" i="17"/>
  <c r="H35" i="17"/>
  <c r="I35" i="17"/>
  <c r="J35" i="17"/>
  <c r="K35" i="17"/>
  <c r="L35" i="17"/>
  <c r="M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D8" i="17"/>
  <c r="AM35" i="17"/>
  <c r="AN35" i="17"/>
  <c r="AO35" i="17"/>
  <c r="AP35" i="17"/>
  <c r="AQ35" i="17"/>
  <c r="AR35" i="17"/>
  <c r="AS35" i="17"/>
  <c r="AT35" i="17"/>
  <c r="AU35" i="17"/>
  <c r="AV35" i="17"/>
  <c r="AW35" i="17"/>
  <c r="D29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BK15" i="17"/>
  <c r="BL15" i="17"/>
  <c r="BM15" i="17"/>
  <c r="BN15" i="17"/>
  <c r="BO15" i="17"/>
  <c r="BP15" i="17"/>
  <c r="BQ15" i="17"/>
  <c r="BR15" i="17"/>
  <c r="BS15" i="17"/>
  <c r="BT15" i="17"/>
  <c r="BU15" i="17"/>
  <c r="BV15" i="17"/>
  <c r="AM15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BN16" i="17"/>
  <c r="BO16" i="17"/>
  <c r="BP16" i="17"/>
  <c r="BQ16" i="17"/>
  <c r="BR16" i="17"/>
  <c r="BS16" i="17"/>
  <c r="BT16" i="17"/>
  <c r="BU16" i="17"/>
  <c r="BV16" i="17"/>
  <c r="D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BG17" i="17"/>
  <c r="BH17" i="17"/>
  <c r="BI17" i="17"/>
  <c r="BJ17" i="17"/>
  <c r="BK17" i="17"/>
  <c r="BL17" i="17"/>
  <c r="BM17" i="17"/>
  <c r="BN17" i="17"/>
  <c r="BO17" i="17"/>
  <c r="BP17" i="17"/>
  <c r="BQ17" i="17"/>
  <c r="BR17" i="17"/>
  <c r="BS17" i="17"/>
  <c r="BT17" i="17"/>
  <c r="BU17" i="17"/>
  <c r="BV17" i="17"/>
  <c r="D11" i="17"/>
  <c r="H31" i="9"/>
  <c r="H32" i="9"/>
  <c r="H33" i="9"/>
  <c r="H34" i="9"/>
  <c r="H35" i="9"/>
  <c r="I52" i="9"/>
  <c r="I54" i="9"/>
  <c r="I55" i="9"/>
  <c r="I44" i="9"/>
  <c r="I45" i="9"/>
  <c r="I48" i="9"/>
  <c r="J30" i="9"/>
  <c r="J31" i="9"/>
  <c r="J32" i="9"/>
  <c r="J33" i="9"/>
  <c r="J34" i="9"/>
  <c r="J35" i="9"/>
  <c r="J36" i="9"/>
  <c r="J55" i="9"/>
  <c r="J44" i="9"/>
  <c r="J45" i="9"/>
  <c r="J48" i="9"/>
  <c r="K30" i="9"/>
  <c r="K31" i="9"/>
  <c r="K32" i="9"/>
  <c r="K33" i="9"/>
  <c r="K34" i="9"/>
  <c r="K35" i="9"/>
  <c r="K36" i="9"/>
  <c r="K54" i="9"/>
  <c r="K55" i="9"/>
  <c r="K44" i="9"/>
  <c r="K45" i="9"/>
  <c r="K48" i="9"/>
  <c r="L30" i="9"/>
  <c r="L31" i="9"/>
  <c r="L32" i="9"/>
  <c r="L33" i="9"/>
  <c r="L34" i="9"/>
  <c r="L35" i="9"/>
  <c r="L36" i="9"/>
  <c r="L52" i="9"/>
  <c r="I13" i="9"/>
  <c r="J13" i="9"/>
  <c r="K13" i="9"/>
  <c r="L53" i="9"/>
  <c r="L54" i="9"/>
  <c r="L55" i="9"/>
  <c r="L44" i="9"/>
  <c r="L45" i="9"/>
  <c r="L48" i="9"/>
  <c r="M30" i="9"/>
  <c r="M31" i="9"/>
  <c r="M32" i="9"/>
  <c r="M33" i="9"/>
  <c r="M34" i="9"/>
  <c r="M35" i="9"/>
  <c r="M36" i="9"/>
  <c r="M55" i="9"/>
  <c r="M44" i="9"/>
  <c r="M45" i="9"/>
  <c r="M48" i="9"/>
  <c r="N30" i="9"/>
  <c r="N31" i="9"/>
  <c r="N32" i="9"/>
  <c r="N33" i="9"/>
  <c r="N34" i="9"/>
  <c r="N35" i="9"/>
  <c r="N36" i="9"/>
  <c r="N54" i="9"/>
  <c r="N55" i="9"/>
  <c r="N44" i="9"/>
  <c r="N45" i="9"/>
  <c r="N48" i="9"/>
  <c r="O30" i="9"/>
  <c r="O31" i="9"/>
  <c r="O32" i="9"/>
  <c r="O33" i="9"/>
  <c r="O34" i="9"/>
  <c r="O35" i="9"/>
  <c r="O36" i="9"/>
  <c r="O52" i="9"/>
  <c r="L13" i="9"/>
  <c r="M13" i="9"/>
  <c r="N13" i="9"/>
  <c r="O53" i="9"/>
  <c r="O54" i="9"/>
  <c r="O55" i="9"/>
  <c r="O44" i="9"/>
  <c r="O45" i="9"/>
  <c r="O48" i="9"/>
  <c r="R7" i="8"/>
  <c r="P30" i="9"/>
  <c r="P31" i="9"/>
  <c r="P32" i="9"/>
  <c r="P33" i="9"/>
  <c r="P34" i="9"/>
  <c r="P35" i="9"/>
  <c r="P36" i="9"/>
  <c r="P55" i="9"/>
  <c r="P44" i="9"/>
  <c r="P45" i="9"/>
  <c r="P48" i="9"/>
  <c r="S7" i="8"/>
  <c r="Q30" i="9"/>
  <c r="Q31" i="9"/>
  <c r="Q32" i="9"/>
  <c r="Q33" i="9"/>
  <c r="Q34" i="9"/>
  <c r="Q35" i="9"/>
  <c r="Q36" i="9"/>
  <c r="Q54" i="9"/>
  <c r="Q55" i="9"/>
  <c r="Q44" i="9"/>
  <c r="Q45" i="9"/>
  <c r="Q48" i="9"/>
  <c r="T7" i="8"/>
  <c r="R30" i="9"/>
  <c r="R31" i="9"/>
  <c r="R32" i="9"/>
  <c r="R33" i="9"/>
  <c r="R34" i="9"/>
  <c r="R35" i="9"/>
  <c r="R36" i="9"/>
  <c r="R52" i="9"/>
  <c r="D28" i="18"/>
  <c r="D29" i="18"/>
  <c r="O13" i="9"/>
  <c r="E28" i="18"/>
  <c r="E29" i="18"/>
  <c r="P13" i="9"/>
  <c r="F28" i="18"/>
  <c r="F29" i="18"/>
  <c r="Q13" i="9"/>
  <c r="R53" i="9"/>
  <c r="R54" i="9"/>
  <c r="R55" i="9"/>
  <c r="R44" i="9"/>
  <c r="R45" i="9"/>
  <c r="R48" i="9"/>
  <c r="U7" i="8"/>
  <c r="S30" i="9"/>
  <c r="S31" i="9"/>
  <c r="S32" i="9"/>
  <c r="S33" i="9"/>
  <c r="S34" i="9"/>
  <c r="S35" i="9"/>
  <c r="S36" i="9"/>
  <c r="S55" i="9"/>
  <c r="S44" i="9"/>
  <c r="S45" i="9"/>
  <c r="S48" i="9"/>
  <c r="V7" i="8"/>
  <c r="T30" i="9"/>
  <c r="T31" i="9"/>
  <c r="T32" i="9"/>
  <c r="T33" i="9"/>
  <c r="T34" i="9"/>
  <c r="T35" i="9"/>
  <c r="T36" i="9"/>
  <c r="T54" i="9"/>
  <c r="T55" i="9"/>
  <c r="T44" i="9"/>
  <c r="T45" i="9"/>
  <c r="T48" i="9"/>
  <c r="W7" i="8"/>
  <c r="W12" i="8"/>
  <c r="U30" i="9"/>
  <c r="U31" i="9"/>
  <c r="U32" i="9"/>
  <c r="U33" i="9"/>
  <c r="U34" i="9"/>
  <c r="U35" i="9"/>
  <c r="U36" i="9"/>
  <c r="U52" i="9"/>
  <c r="G28" i="18"/>
  <c r="G29" i="18"/>
  <c r="R13" i="9"/>
  <c r="H28" i="18"/>
  <c r="H29" i="18"/>
  <c r="S13" i="9"/>
  <c r="I28" i="18"/>
  <c r="I29" i="18"/>
  <c r="T13" i="9"/>
  <c r="U53" i="9"/>
  <c r="U54" i="9"/>
  <c r="U55" i="9"/>
  <c r="U44" i="9"/>
  <c r="U45" i="9"/>
  <c r="U48" i="9"/>
  <c r="X7" i="8"/>
  <c r="V30" i="9"/>
  <c r="V31" i="9"/>
  <c r="V32" i="9"/>
  <c r="V33" i="9"/>
  <c r="V34" i="9"/>
  <c r="V35" i="9"/>
  <c r="V36" i="9"/>
  <c r="V55" i="9"/>
  <c r="V44" i="9"/>
  <c r="V45" i="9"/>
  <c r="V48" i="9"/>
  <c r="Y7" i="8"/>
  <c r="W30" i="9"/>
  <c r="W31" i="9"/>
  <c r="W32" i="9"/>
  <c r="W33" i="9"/>
  <c r="W34" i="9"/>
  <c r="W35" i="9"/>
  <c r="W36" i="9"/>
  <c r="W54" i="9"/>
  <c r="W55" i="9"/>
  <c r="W44" i="9"/>
  <c r="W45" i="9"/>
  <c r="W48" i="9"/>
  <c r="Z7" i="8"/>
  <c r="X30" i="9"/>
  <c r="X31" i="9"/>
  <c r="X32" i="9"/>
  <c r="X33" i="9"/>
  <c r="X34" i="9"/>
  <c r="X35" i="9"/>
  <c r="X36" i="9"/>
  <c r="X52" i="9"/>
  <c r="J28" i="18"/>
  <c r="J29" i="18"/>
  <c r="U13" i="9"/>
  <c r="V13" i="9"/>
  <c r="L28" i="18"/>
  <c r="L29" i="18"/>
  <c r="W13" i="9"/>
  <c r="X53" i="9"/>
  <c r="X54" i="9"/>
  <c r="X55" i="9"/>
  <c r="X44" i="9"/>
  <c r="X45" i="9"/>
  <c r="X48" i="9"/>
  <c r="AA7" i="8"/>
  <c r="Y30" i="9"/>
  <c r="Y31" i="9"/>
  <c r="Y32" i="9"/>
  <c r="Y33" i="9"/>
  <c r="AA9" i="8"/>
  <c r="Y34" i="9"/>
  <c r="Y35" i="9"/>
  <c r="Y36" i="9"/>
  <c r="Y55" i="9"/>
  <c r="Y44" i="9"/>
  <c r="Y45" i="9"/>
  <c r="Y48" i="9"/>
  <c r="AB7" i="8"/>
  <c r="Z30" i="9"/>
  <c r="Z31" i="9"/>
  <c r="Z32" i="9"/>
  <c r="Z33" i="9"/>
  <c r="AB9" i="8"/>
  <c r="Z34" i="9"/>
  <c r="Z35" i="9"/>
  <c r="Z36" i="9"/>
  <c r="Z54" i="9"/>
  <c r="Z55" i="9"/>
  <c r="Z44" i="9"/>
  <c r="Z45" i="9"/>
  <c r="Z48" i="9"/>
  <c r="AC7" i="8"/>
  <c r="AC11" i="8"/>
  <c r="AC12" i="8"/>
  <c r="AA30" i="9"/>
  <c r="AA31" i="9"/>
  <c r="AA32" i="9"/>
  <c r="AA33" i="9"/>
  <c r="AC9" i="8"/>
  <c r="AA34" i="9"/>
  <c r="AA35" i="9"/>
  <c r="AA36" i="9"/>
  <c r="AA52" i="9"/>
  <c r="M28" i="18"/>
  <c r="M29" i="18"/>
  <c r="X13" i="9"/>
  <c r="O28" i="18"/>
  <c r="O29" i="18"/>
  <c r="Z13" i="9"/>
  <c r="AA53" i="9"/>
  <c r="AA54" i="9"/>
  <c r="AA55" i="9"/>
  <c r="AA44" i="9"/>
  <c r="AA45" i="9"/>
  <c r="AA48" i="9"/>
  <c r="AD7" i="8"/>
  <c r="AB30" i="9"/>
  <c r="AB31" i="9"/>
  <c r="AB32" i="9"/>
  <c r="AB33" i="9"/>
  <c r="AD9" i="8"/>
  <c r="AB34" i="9"/>
  <c r="AB35" i="9"/>
  <c r="AB36" i="9"/>
  <c r="AB55" i="9"/>
  <c r="AB44" i="9"/>
  <c r="AB45" i="9"/>
  <c r="AB48" i="9"/>
  <c r="AE7" i="8"/>
  <c r="AC30" i="9"/>
  <c r="AC31" i="9"/>
  <c r="AC32" i="9"/>
  <c r="AC33" i="9"/>
  <c r="AE9" i="8"/>
  <c r="AC34" i="9"/>
  <c r="AC35" i="9"/>
  <c r="AC36" i="9"/>
  <c r="AC54" i="9"/>
  <c r="AC55" i="9"/>
  <c r="AC44" i="9"/>
  <c r="AC45" i="9"/>
  <c r="AC48" i="9"/>
  <c r="AF7" i="8"/>
  <c r="AD30" i="9"/>
  <c r="AD31" i="9"/>
  <c r="AD32" i="9"/>
  <c r="AD33" i="9"/>
  <c r="AF9" i="8"/>
  <c r="AD34" i="9"/>
  <c r="AD35" i="9"/>
  <c r="AD36" i="9"/>
  <c r="AD52" i="9"/>
  <c r="D45" i="18"/>
  <c r="D46" i="18"/>
  <c r="AA13" i="9"/>
  <c r="E45" i="18"/>
  <c r="E46" i="18"/>
  <c r="AB13" i="9"/>
  <c r="F45" i="18"/>
  <c r="F46" i="18"/>
  <c r="AC13" i="9"/>
  <c r="AD53" i="9"/>
  <c r="AD54" i="9"/>
  <c r="AD55" i="9"/>
  <c r="AD44" i="9"/>
  <c r="AD45" i="9"/>
  <c r="AD48" i="9"/>
  <c r="AG7" i="8"/>
  <c r="AE30" i="9"/>
  <c r="AE31" i="9"/>
  <c r="AE32" i="9"/>
  <c r="AE33" i="9"/>
  <c r="AG9" i="8"/>
  <c r="AE34" i="9"/>
  <c r="AE35" i="9"/>
  <c r="AE36" i="9"/>
  <c r="AE55" i="9"/>
  <c r="AE44" i="9"/>
  <c r="AE45" i="9"/>
  <c r="AE48" i="9"/>
  <c r="AH7" i="8"/>
  <c r="AF30" i="9"/>
  <c r="AF31" i="9"/>
  <c r="AF32" i="9"/>
  <c r="AF33" i="9"/>
  <c r="AH9" i="8"/>
  <c r="AF34" i="9"/>
  <c r="AF35" i="9"/>
  <c r="AF36" i="9"/>
  <c r="AF54" i="9"/>
  <c r="AF55" i="9"/>
  <c r="AF44" i="9"/>
  <c r="AF45" i="9"/>
  <c r="AF48" i="9"/>
  <c r="AI7" i="8"/>
  <c r="AI11" i="8"/>
  <c r="AI12" i="8"/>
  <c r="AG30" i="9"/>
  <c r="AG31" i="9"/>
  <c r="AG32" i="9"/>
  <c r="AG33" i="9"/>
  <c r="AI9" i="8"/>
  <c r="AG34" i="9"/>
  <c r="AG35" i="9"/>
  <c r="AG36" i="9"/>
  <c r="AG52" i="9"/>
  <c r="G45" i="18"/>
  <c r="G46" i="18"/>
  <c r="AD13" i="9"/>
  <c r="H45" i="18"/>
  <c r="H46" i="18"/>
  <c r="AE13" i="9"/>
  <c r="I45" i="18"/>
  <c r="I46" i="18"/>
  <c r="AF13" i="9"/>
  <c r="AG53" i="9"/>
  <c r="AG54" i="9"/>
  <c r="AG55" i="9"/>
  <c r="AG44" i="9"/>
  <c r="AG45" i="9"/>
  <c r="AG48" i="9"/>
  <c r="AJ7" i="8"/>
  <c r="AH30" i="9"/>
  <c r="AH31" i="9"/>
  <c r="AH32" i="9"/>
  <c r="AH33" i="9"/>
  <c r="AJ9" i="8"/>
  <c r="AH34" i="9"/>
  <c r="AH35" i="9"/>
  <c r="AH36" i="9"/>
  <c r="AH55" i="9"/>
  <c r="AH44" i="9"/>
  <c r="AH45" i="9"/>
  <c r="AH48" i="9"/>
  <c r="AK7" i="8"/>
  <c r="AI30" i="9"/>
  <c r="AI31" i="9"/>
  <c r="AI32" i="9"/>
  <c r="AI33" i="9"/>
  <c r="AK9" i="8"/>
  <c r="AI34" i="9"/>
  <c r="AI35" i="9"/>
  <c r="AI36" i="9"/>
  <c r="AI54" i="9"/>
  <c r="AI55" i="9"/>
  <c r="AI44" i="9"/>
  <c r="AI45" i="9"/>
  <c r="AI48" i="9"/>
  <c r="AL7" i="8"/>
  <c r="AJ30" i="9"/>
  <c r="AJ31" i="9"/>
  <c r="AJ32" i="9"/>
  <c r="AJ33" i="9"/>
  <c r="AL9" i="8"/>
  <c r="AJ34" i="9"/>
  <c r="AJ35" i="9"/>
  <c r="AJ36" i="9"/>
  <c r="AJ52" i="9"/>
  <c r="J45" i="18"/>
  <c r="J46" i="18"/>
  <c r="AG13" i="9"/>
  <c r="K45" i="18"/>
  <c r="K46" i="18"/>
  <c r="AH13" i="9"/>
  <c r="L45" i="18"/>
  <c r="L46" i="18"/>
  <c r="AI13" i="9"/>
  <c r="AJ53" i="9"/>
  <c r="AJ54" i="9"/>
  <c r="AJ55" i="9"/>
  <c r="AJ44" i="9"/>
  <c r="AJ45" i="9"/>
  <c r="AJ48" i="9"/>
  <c r="AM7" i="8"/>
  <c r="AK30" i="9"/>
  <c r="AK31" i="9"/>
  <c r="AK32" i="9"/>
  <c r="AK33" i="9"/>
  <c r="AM9" i="8"/>
  <c r="AK34" i="9"/>
  <c r="AK35" i="9"/>
  <c r="AK36" i="9"/>
  <c r="AK55" i="9"/>
  <c r="AK44" i="9"/>
  <c r="AK45" i="9"/>
  <c r="AK48" i="9"/>
  <c r="AN7" i="8"/>
  <c r="AL30" i="9"/>
  <c r="AL31" i="9"/>
  <c r="AL32" i="9"/>
  <c r="AL33" i="9"/>
  <c r="AN9" i="8"/>
  <c r="AL34" i="9"/>
  <c r="AL35" i="9"/>
  <c r="AL36" i="9"/>
  <c r="AL54" i="9"/>
  <c r="AL55" i="9"/>
  <c r="AL44" i="9"/>
  <c r="AL45" i="9"/>
  <c r="AL48" i="9"/>
  <c r="H30" i="9"/>
  <c r="H36" i="9"/>
  <c r="H55" i="9"/>
  <c r="H44" i="9"/>
  <c r="H45" i="9"/>
  <c r="H48" i="9"/>
  <c r="M9" i="13"/>
  <c r="M8" i="13"/>
  <c r="N9" i="13"/>
  <c r="N8" i="13"/>
  <c r="O9" i="13"/>
  <c r="O8" i="13"/>
  <c r="P9" i="13"/>
  <c r="P8" i="13"/>
  <c r="Q8" i="13"/>
  <c r="M18" i="13"/>
  <c r="M17" i="13"/>
  <c r="N18" i="13"/>
  <c r="N17" i="13"/>
  <c r="O18" i="13"/>
  <c r="O17" i="13"/>
  <c r="P18" i="13"/>
  <c r="P17" i="13"/>
  <c r="Q17" i="13"/>
  <c r="M20" i="13"/>
  <c r="N20" i="13"/>
  <c r="O20" i="13"/>
  <c r="P20" i="13"/>
  <c r="M32" i="13"/>
  <c r="N32" i="13"/>
  <c r="O32" i="13"/>
  <c r="P32" i="13"/>
  <c r="Q32" i="13"/>
  <c r="M33" i="13"/>
  <c r="N33" i="13"/>
  <c r="O33" i="13"/>
  <c r="P33" i="13"/>
  <c r="Q33" i="13"/>
  <c r="M34" i="13"/>
  <c r="N34" i="13"/>
  <c r="O34" i="13"/>
  <c r="P34" i="13"/>
  <c r="Q34" i="13"/>
  <c r="Q31" i="13"/>
  <c r="M36" i="13"/>
  <c r="M37" i="13"/>
  <c r="M38" i="13"/>
  <c r="M39" i="13"/>
  <c r="M40" i="13"/>
  <c r="M41" i="13"/>
  <c r="M42" i="13"/>
  <c r="M35" i="13"/>
  <c r="N36" i="13"/>
  <c r="N37" i="13"/>
  <c r="N38" i="13"/>
  <c r="N39" i="13"/>
  <c r="N40" i="13"/>
  <c r="N41" i="13"/>
  <c r="N42" i="13"/>
  <c r="N35" i="13"/>
  <c r="O36" i="13"/>
  <c r="O37" i="13"/>
  <c r="O38" i="13"/>
  <c r="O39" i="13"/>
  <c r="O40" i="13"/>
  <c r="O41" i="13"/>
  <c r="O42" i="13"/>
  <c r="O35" i="13"/>
  <c r="P36" i="13"/>
  <c r="P37" i="13"/>
  <c r="P38" i="13"/>
  <c r="P39" i="13"/>
  <c r="P40" i="13"/>
  <c r="P41" i="13"/>
  <c r="P42" i="13"/>
  <c r="P35" i="13"/>
  <c r="Q35" i="13"/>
  <c r="M44" i="13"/>
  <c r="M43" i="13"/>
  <c r="N44" i="13"/>
  <c r="N43" i="13"/>
  <c r="O44" i="13"/>
  <c r="O43" i="13"/>
  <c r="P44" i="13"/>
  <c r="P43" i="13"/>
  <c r="Q43" i="13"/>
  <c r="Q7" i="13"/>
  <c r="D79" i="18"/>
  <c r="D80" i="18"/>
  <c r="D81" i="18"/>
  <c r="D70" i="18"/>
  <c r="D71" i="18"/>
  <c r="D72" i="18"/>
  <c r="D73" i="18"/>
  <c r="D74" i="18"/>
  <c r="D75" i="18"/>
  <c r="D76" i="18"/>
  <c r="D77" i="18"/>
  <c r="D78" i="18"/>
  <c r="D69" i="18"/>
  <c r="E79" i="18"/>
  <c r="E80" i="18"/>
  <c r="E81" i="18"/>
  <c r="E82" i="18"/>
  <c r="E71" i="18"/>
  <c r="E72" i="18"/>
  <c r="E73" i="18"/>
  <c r="E74" i="18"/>
  <c r="E75" i="18"/>
  <c r="E76" i="18"/>
  <c r="E77" i="18"/>
  <c r="E78" i="18"/>
  <c r="E69" i="18"/>
  <c r="F79" i="18"/>
  <c r="F80" i="18"/>
  <c r="F81" i="18"/>
  <c r="F82" i="18"/>
  <c r="F83" i="18"/>
  <c r="F72" i="18"/>
  <c r="F73" i="18"/>
  <c r="F74" i="18"/>
  <c r="F75" i="18"/>
  <c r="F76" i="18"/>
  <c r="F77" i="18"/>
  <c r="F78" i="18"/>
  <c r="F69" i="18"/>
  <c r="M5" i="13"/>
  <c r="M6" i="13"/>
  <c r="M4" i="13"/>
  <c r="G79" i="18"/>
  <c r="G80" i="18"/>
  <c r="G81" i="18"/>
  <c r="G82" i="18"/>
  <c r="G83" i="18"/>
  <c r="G84" i="18"/>
  <c r="G73" i="18"/>
  <c r="G74" i="18"/>
  <c r="G75" i="18"/>
  <c r="G76" i="18"/>
  <c r="G77" i="18"/>
  <c r="G78" i="18"/>
  <c r="G69" i="18"/>
  <c r="H79" i="18"/>
  <c r="H80" i="18"/>
  <c r="H81" i="18"/>
  <c r="H82" i="18"/>
  <c r="H83" i="18"/>
  <c r="H84" i="18"/>
  <c r="H85" i="18"/>
  <c r="H74" i="18"/>
  <c r="H75" i="18"/>
  <c r="H76" i="18"/>
  <c r="H77" i="18"/>
  <c r="H78" i="18"/>
  <c r="H69" i="18"/>
  <c r="I79" i="18"/>
  <c r="I80" i="18"/>
  <c r="I81" i="18"/>
  <c r="I82" i="18"/>
  <c r="I83" i="18"/>
  <c r="I84" i="18"/>
  <c r="I85" i="18"/>
  <c r="I86" i="18"/>
  <c r="I75" i="18"/>
  <c r="I76" i="18"/>
  <c r="I77" i="18"/>
  <c r="I78" i="18"/>
  <c r="I69" i="18"/>
  <c r="N5" i="13"/>
  <c r="N6" i="13"/>
  <c r="N4" i="13"/>
  <c r="J79" i="18"/>
  <c r="J80" i="18"/>
  <c r="J81" i="18"/>
  <c r="J82" i="18"/>
  <c r="J83" i="18"/>
  <c r="J84" i="18"/>
  <c r="J85" i="18"/>
  <c r="J86" i="18"/>
  <c r="J87" i="18"/>
  <c r="J76" i="18"/>
  <c r="J77" i="18"/>
  <c r="J78" i="18"/>
  <c r="J69" i="18"/>
  <c r="K79" i="18"/>
  <c r="K80" i="18"/>
  <c r="K81" i="18"/>
  <c r="K82" i="18"/>
  <c r="K83" i="18"/>
  <c r="K84" i="18"/>
  <c r="K85" i="18"/>
  <c r="K86" i="18"/>
  <c r="K87" i="18"/>
  <c r="K88" i="18"/>
  <c r="K77" i="18"/>
  <c r="K78" i="18"/>
  <c r="K69" i="18"/>
  <c r="O5" i="13"/>
  <c r="O6" i="13"/>
  <c r="O4" i="13"/>
  <c r="M79" i="18"/>
  <c r="M80" i="18"/>
  <c r="M81" i="18"/>
  <c r="M82" i="18"/>
  <c r="M83" i="18"/>
  <c r="M84" i="18"/>
  <c r="M85" i="18"/>
  <c r="M86" i="18"/>
  <c r="M87" i="18"/>
  <c r="M88" i="18"/>
  <c r="M89" i="18"/>
  <c r="M43" i="18"/>
  <c r="M90" i="18"/>
  <c r="M69" i="18"/>
  <c r="N91" i="18"/>
  <c r="N80" i="18"/>
  <c r="N81" i="18"/>
  <c r="N82" i="18"/>
  <c r="N83" i="18"/>
  <c r="N84" i="18"/>
  <c r="N85" i="18"/>
  <c r="N86" i="18"/>
  <c r="N87" i="18"/>
  <c r="N88" i="18"/>
  <c r="N89" i="18"/>
  <c r="N90" i="18"/>
  <c r="N69" i="18"/>
  <c r="O91" i="18"/>
  <c r="O92" i="18"/>
  <c r="O81" i="18"/>
  <c r="O82" i="18"/>
  <c r="O83" i="18"/>
  <c r="O84" i="18"/>
  <c r="O85" i="18"/>
  <c r="O86" i="18"/>
  <c r="O87" i="18"/>
  <c r="O88" i="18"/>
  <c r="O89" i="18"/>
  <c r="O90" i="18"/>
  <c r="O69" i="18"/>
  <c r="P5" i="13"/>
  <c r="P6" i="13"/>
  <c r="P4" i="13"/>
  <c r="Q4" i="13"/>
  <c r="Q47" i="13"/>
  <c r="H9" i="13"/>
  <c r="H8" i="13"/>
  <c r="I9" i="13"/>
  <c r="I8" i="13"/>
  <c r="J9" i="13"/>
  <c r="J8" i="13"/>
  <c r="K9" i="13"/>
  <c r="K8" i="13"/>
  <c r="L8" i="13"/>
  <c r="H18" i="13"/>
  <c r="H17" i="13"/>
  <c r="I18" i="13"/>
  <c r="I17" i="13"/>
  <c r="J18" i="13"/>
  <c r="J17" i="13"/>
  <c r="K18" i="13"/>
  <c r="K17" i="13"/>
  <c r="L17" i="13"/>
  <c r="H20" i="13"/>
  <c r="I20" i="13"/>
  <c r="J20" i="13"/>
  <c r="K20" i="13"/>
  <c r="H32" i="13"/>
  <c r="I32" i="13"/>
  <c r="J32" i="13"/>
  <c r="K32" i="13"/>
  <c r="L32" i="13"/>
  <c r="H33" i="13"/>
  <c r="I33" i="13"/>
  <c r="J33" i="13"/>
  <c r="K33" i="13"/>
  <c r="L33" i="13"/>
  <c r="H34" i="13"/>
  <c r="I34" i="13"/>
  <c r="J34" i="13"/>
  <c r="K34" i="13"/>
  <c r="L34" i="13"/>
  <c r="L31" i="13"/>
  <c r="H36" i="13"/>
  <c r="H37" i="13"/>
  <c r="H38" i="13"/>
  <c r="H39" i="13"/>
  <c r="H40" i="13"/>
  <c r="H41" i="13"/>
  <c r="H42" i="13"/>
  <c r="H35" i="13"/>
  <c r="I36" i="13"/>
  <c r="I37" i="13"/>
  <c r="I38" i="13"/>
  <c r="I39" i="13"/>
  <c r="I40" i="13"/>
  <c r="I41" i="13"/>
  <c r="I42" i="13"/>
  <c r="I35" i="13"/>
  <c r="J36" i="13"/>
  <c r="J37" i="13"/>
  <c r="J38" i="13"/>
  <c r="J39" i="13"/>
  <c r="J40" i="13"/>
  <c r="J41" i="13"/>
  <c r="J42" i="13"/>
  <c r="J35" i="13"/>
  <c r="K36" i="13"/>
  <c r="K37" i="13"/>
  <c r="K38" i="13"/>
  <c r="K39" i="13"/>
  <c r="K40" i="13"/>
  <c r="K41" i="13"/>
  <c r="K42" i="13"/>
  <c r="K35" i="13"/>
  <c r="L35" i="13"/>
  <c r="H44" i="13"/>
  <c r="H43" i="13"/>
  <c r="I44" i="13"/>
  <c r="I43" i="13"/>
  <c r="J44" i="13"/>
  <c r="J43" i="13"/>
  <c r="K44" i="13"/>
  <c r="K43" i="13"/>
  <c r="L43" i="13"/>
  <c r="H45" i="13"/>
  <c r="I45" i="13"/>
  <c r="J45" i="13"/>
  <c r="K45" i="13"/>
  <c r="L45" i="13"/>
  <c r="L7" i="13"/>
  <c r="D55" i="18"/>
  <c r="D56" i="18"/>
  <c r="D57" i="18"/>
  <c r="D54" i="18"/>
  <c r="E55" i="18"/>
  <c r="E56" i="18"/>
  <c r="E57" i="18"/>
  <c r="E58" i="18"/>
  <c r="E54" i="18"/>
  <c r="F55" i="18"/>
  <c r="F56" i="18"/>
  <c r="F57" i="18"/>
  <c r="F58" i="18"/>
  <c r="F59" i="18"/>
  <c r="F54" i="18"/>
  <c r="H5" i="13"/>
  <c r="H6" i="13"/>
  <c r="H4" i="13"/>
  <c r="G55" i="18"/>
  <c r="G56" i="18"/>
  <c r="G57" i="18"/>
  <c r="G58" i="18"/>
  <c r="G59" i="18"/>
  <c r="G60" i="18"/>
  <c r="G54" i="18"/>
  <c r="H55" i="18"/>
  <c r="H56" i="18"/>
  <c r="H57" i="18"/>
  <c r="H58" i="18"/>
  <c r="H59" i="18"/>
  <c r="H60" i="18"/>
  <c r="H61" i="18"/>
  <c r="H54" i="18"/>
  <c r="I55" i="18"/>
  <c r="I56" i="18"/>
  <c r="I57" i="18"/>
  <c r="I58" i="18"/>
  <c r="I59" i="18"/>
  <c r="I60" i="18"/>
  <c r="I61" i="18"/>
  <c r="I62" i="18"/>
  <c r="I54" i="18"/>
  <c r="I5" i="13"/>
  <c r="I6" i="13"/>
  <c r="I4" i="13"/>
  <c r="J55" i="18"/>
  <c r="J56" i="18"/>
  <c r="J57" i="18"/>
  <c r="J58" i="18"/>
  <c r="J59" i="18"/>
  <c r="J60" i="18"/>
  <c r="J61" i="18"/>
  <c r="J62" i="18"/>
  <c r="J63" i="18"/>
  <c r="J54" i="18"/>
  <c r="K55" i="18"/>
  <c r="K56" i="18"/>
  <c r="K57" i="18"/>
  <c r="K58" i="18"/>
  <c r="K59" i="18"/>
  <c r="K60" i="18"/>
  <c r="K61" i="18"/>
  <c r="K62" i="18"/>
  <c r="K63" i="18"/>
  <c r="K64" i="18"/>
  <c r="K54" i="18"/>
  <c r="L55" i="18"/>
  <c r="L56" i="18"/>
  <c r="L57" i="18"/>
  <c r="L58" i="18"/>
  <c r="L59" i="18"/>
  <c r="L60" i="18"/>
  <c r="L61" i="18"/>
  <c r="L62" i="18"/>
  <c r="L63" i="18"/>
  <c r="L64" i="18"/>
  <c r="L65" i="18"/>
  <c r="L54" i="18"/>
  <c r="J5" i="13"/>
  <c r="J6" i="13"/>
  <c r="J4" i="13"/>
  <c r="N67" i="18"/>
  <c r="N56" i="18"/>
  <c r="N57" i="18"/>
  <c r="N58" i="18"/>
  <c r="N59" i="18"/>
  <c r="N60" i="18"/>
  <c r="N61" i="18"/>
  <c r="N62" i="18"/>
  <c r="N63" i="18"/>
  <c r="N64" i="18"/>
  <c r="N65" i="18"/>
  <c r="N66" i="18"/>
  <c r="N54" i="18"/>
  <c r="O67" i="18"/>
  <c r="O68" i="18"/>
  <c r="O57" i="18"/>
  <c r="O58" i="18"/>
  <c r="O59" i="18"/>
  <c r="O60" i="18"/>
  <c r="O61" i="18"/>
  <c r="O62" i="18"/>
  <c r="O63" i="18"/>
  <c r="O64" i="18"/>
  <c r="O65" i="18"/>
  <c r="O66" i="18"/>
  <c r="O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54" i="18"/>
  <c r="K5" i="13"/>
  <c r="K6" i="13"/>
  <c r="K4" i="13"/>
  <c r="L4" i="13"/>
  <c r="L47" i="13"/>
  <c r="C5" i="13"/>
  <c r="C6" i="13"/>
  <c r="C4" i="13"/>
  <c r="D5" i="13"/>
  <c r="D6" i="13"/>
  <c r="D4" i="13"/>
  <c r="E5" i="13"/>
  <c r="E6" i="13"/>
  <c r="E4" i="13"/>
  <c r="N52" i="18"/>
  <c r="N51" i="18"/>
  <c r="O52" i="18"/>
  <c r="O53" i="18"/>
  <c r="O51" i="18"/>
  <c r="F5" i="13"/>
  <c r="F6" i="13"/>
  <c r="F4" i="13"/>
  <c r="G4" i="13"/>
  <c r="G47" i="13"/>
  <c r="Q48" i="13"/>
  <c r="K61" i="8"/>
  <c r="J17" i="8"/>
  <c r="J22" i="8"/>
  <c r="J23" i="8"/>
  <c r="J37" i="8"/>
  <c r="J39" i="8"/>
  <c r="J47" i="8"/>
  <c r="H6" i="9"/>
  <c r="H13" i="9"/>
  <c r="H14" i="9"/>
  <c r="H17" i="9"/>
  <c r="H18" i="9"/>
  <c r="H24" i="9"/>
  <c r="H26" i="9"/>
  <c r="H5" i="9"/>
  <c r="H7" i="9"/>
  <c r="H8" i="9"/>
  <c r="I17" i="9"/>
  <c r="I18" i="9"/>
  <c r="I14" i="9"/>
  <c r="I26" i="9"/>
  <c r="I5" i="9"/>
  <c r="K17" i="8"/>
  <c r="K22" i="8"/>
  <c r="K23" i="8"/>
  <c r="K37" i="8"/>
  <c r="K45" i="8"/>
  <c r="K47" i="8"/>
  <c r="I6" i="9"/>
  <c r="I7" i="9"/>
  <c r="I8" i="9"/>
  <c r="AD37" i="8"/>
  <c r="AE37" i="8"/>
  <c r="AF37" i="8"/>
  <c r="AG37" i="8"/>
  <c r="AH37" i="8"/>
  <c r="AI37" i="8"/>
  <c r="AJ37" i="8"/>
  <c r="AK37" i="8"/>
  <c r="AL37" i="8"/>
  <c r="AM37" i="8"/>
  <c r="AN37" i="8"/>
  <c r="AC37" i="8"/>
  <c r="R37" i="8"/>
  <c r="S37" i="8"/>
  <c r="T37" i="8"/>
  <c r="U37" i="8"/>
  <c r="V37" i="8"/>
  <c r="W37" i="8"/>
  <c r="X37" i="8"/>
  <c r="Y37" i="8"/>
  <c r="Z37" i="8"/>
  <c r="AA37" i="8"/>
  <c r="AB37" i="8"/>
  <c r="Q37" i="8"/>
  <c r="AC38" i="8"/>
  <c r="Q38" i="8"/>
  <c r="AO38" i="8"/>
  <c r="AP38" i="8"/>
  <c r="AQ38" i="8"/>
  <c r="P39" i="8"/>
  <c r="AO39" i="8"/>
  <c r="V39" i="8"/>
  <c r="AB39" i="8"/>
  <c r="AP39" i="8"/>
  <c r="AH39" i="8"/>
  <c r="AN39" i="8"/>
  <c r="AQ39" i="8"/>
  <c r="AO9" i="8"/>
  <c r="AP9" i="8"/>
  <c r="AQ9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Q32" i="8"/>
  <c r="AP32" i="8"/>
  <c r="AO32" i="8"/>
  <c r="R8" i="8"/>
  <c r="S8" i="8"/>
  <c r="T8" i="8"/>
  <c r="U8" i="8"/>
  <c r="V8" i="8"/>
  <c r="D24" i="9"/>
  <c r="E24" i="9"/>
  <c r="F24" i="9"/>
  <c r="G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C24" i="9"/>
  <c r="I11" i="18"/>
  <c r="J17" i="9"/>
  <c r="K17" i="9"/>
  <c r="L17" i="8"/>
  <c r="M17" i="8"/>
  <c r="L22" i="8"/>
  <c r="L23" i="8"/>
  <c r="L24" i="8"/>
  <c r="L26" i="8"/>
  <c r="L27" i="8"/>
  <c r="L28" i="8"/>
  <c r="L29" i="8"/>
  <c r="M22" i="8"/>
  <c r="M23" i="8"/>
  <c r="M25" i="8"/>
  <c r="M27" i="8"/>
  <c r="M28" i="8"/>
  <c r="L37" i="8"/>
  <c r="M37" i="8"/>
  <c r="L47" i="8"/>
  <c r="L49" i="8"/>
  <c r="L5" i="8"/>
  <c r="M47" i="8"/>
  <c r="M49" i="8"/>
  <c r="M5" i="8"/>
  <c r="J11" i="18"/>
  <c r="K11" i="18"/>
  <c r="L11" i="18"/>
  <c r="L17" i="9"/>
  <c r="M17" i="9"/>
  <c r="N17" i="9"/>
  <c r="N17" i="8"/>
  <c r="O17" i="8"/>
  <c r="P17" i="8"/>
  <c r="N22" i="8"/>
  <c r="N23" i="8"/>
  <c r="N27" i="8"/>
  <c r="N28" i="8"/>
  <c r="O22" i="8"/>
  <c r="O23" i="8"/>
  <c r="O27" i="8"/>
  <c r="O28" i="8"/>
  <c r="P22" i="8"/>
  <c r="P23" i="8"/>
  <c r="P24" i="8"/>
  <c r="P27" i="8"/>
  <c r="P28" i="8"/>
  <c r="N37" i="8"/>
  <c r="O37" i="8"/>
  <c r="P37" i="8"/>
  <c r="N45" i="8"/>
  <c r="N46" i="8"/>
  <c r="N47" i="8"/>
  <c r="N49" i="8"/>
  <c r="N5" i="8"/>
  <c r="O46" i="8"/>
  <c r="O47" i="8"/>
  <c r="O49" i="8"/>
  <c r="O5" i="8"/>
  <c r="P46" i="8"/>
  <c r="P47" i="8"/>
  <c r="P49" i="8"/>
  <c r="P50" i="8"/>
  <c r="P5" i="8"/>
  <c r="P6" i="8"/>
  <c r="M11" i="18"/>
  <c r="N11" i="18"/>
  <c r="O11" i="18"/>
  <c r="O17" i="9"/>
  <c r="P17" i="9"/>
  <c r="Q17" i="9"/>
  <c r="Q17" i="8"/>
  <c r="R17" i="8"/>
  <c r="S17" i="8"/>
  <c r="Q22" i="8"/>
  <c r="Q23" i="8"/>
  <c r="Q27" i="8"/>
  <c r="R22" i="8"/>
  <c r="R23" i="8"/>
  <c r="R27" i="8"/>
  <c r="S22" i="8"/>
  <c r="S23" i="8"/>
  <c r="S27" i="8"/>
  <c r="Q45" i="8"/>
  <c r="Q46" i="8"/>
  <c r="Q47" i="8"/>
  <c r="Q49" i="8"/>
  <c r="Q5" i="8"/>
  <c r="Q6" i="8"/>
  <c r="R46" i="8"/>
  <c r="R47" i="8"/>
  <c r="R49" i="8"/>
  <c r="R5" i="8"/>
  <c r="S46" i="8"/>
  <c r="S47" i="8"/>
  <c r="S49" i="8"/>
  <c r="S5" i="8"/>
  <c r="D24" i="18"/>
  <c r="D11" i="18"/>
  <c r="E24" i="18"/>
  <c r="E11" i="18"/>
  <c r="F24" i="18"/>
  <c r="F11" i="18"/>
  <c r="R17" i="9"/>
  <c r="S17" i="9"/>
  <c r="T17" i="9"/>
  <c r="T17" i="8"/>
  <c r="U17" i="8"/>
  <c r="V17" i="8"/>
  <c r="T22" i="8"/>
  <c r="T23" i="8"/>
  <c r="T27" i="8"/>
  <c r="U22" i="8"/>
  <c r="U23" i="8"/>
  <c r="U27" i="8"/>
  <c r="V22" i="8"/>
  <c r="V23" i="8"/>
  <c r="V27" i="8"/>
  <c r="T45" i="8"/>
  <c r="T46" i="8"/>
  <c r="T47" i="8"/>
  <c r="T49" i="8"/>
  <c r="T5" i="8"/>
  <c r="U46" i="8"/>
  <c r="U47" i="8"/>
  <c r="U49" i="8"/>
  <c r="U5" i="8"/>
  <c r="U6" i="8"/>
  <c r="V46" i="8"/>
  <c r="V47" i="8"/>
  <c r="V49" i="8"/>
  <c r="V5" i="8"/>
  <c r="V6" i="8"/>
  <c r="G24" i="18"/>
  <c r="G11" i="18"/>
  <c r="H24" i="18"/>
  <c r="H11" i="18"/>
  <c r="I24" i="18"/>
  <c r="U17" i="9"/>
  <c r="V17" i="9"/>
  <c r="W17" i="9"/>
  <c r="W17" i="8"/>
  <c r="X17" i="8"/>
  <c r="Y17" i="8"/>
  <c r="W22" i="8"/>
  <c r="W23" i="8"/>
  <c r="W27" i="8"/>
  <c r="X22" i="8"/>
  <c r="X23" i="8"/>
  <c r="X26" i="8"/>
  <c r="X27" i="8"/>
  <c r="Y22" i="8"/>
  <c r="Y23" i="8"/>
  <c r="Y27" i="8"/>
  <c r="W45" i="8"/>
  <c r="W46" i="8"/>
  <c r="W47" i="8"/>
  <c r="W49" i="8"/>
  <c r="W5" i="8"/>
  <c r="W6" i="8"/>
  <c r="W8" i="8"/>
  <c r="X46" i="8"/>
  <c r="X47" i="8"/>
  <c r="X49" i="8"/>
  <c r="X5" i="8"/>
  <c r="X6" i="8"/>
  <c r="X8" i="8"/>
  <c r="Y46" i="8"/>
  <c r="Y47" i="8"/>
  <c r="Y49" i="8"/>
  <c r="Y5" i="8"/>
  <c r="Y8" i="8"/>
  <c r="J24" i="18"/>
  <c r="K24" i="18"/>
  <c r="L24" i="18"/>
  <c r="X17" i="9"/>
  <c r="Y17" i="9"/>
  <c r="Z17" i="9"/>
  <c r="Z17" i="8"/>
  <c r="AA17" i="8"/>
  <c r="AB17" i="8"/>
  <c r="Z22" i="8"/>
  <c r="Z23" i="8"/>
  <c r="Z27" i="8"/>
  <c r="AA22" i="8"/>
  <c r="AA23" i="8"/>
  <c r="AA27" i="8"/>
  <c r="AB22" i="8"/>
  <c r="AB23" i="8"/>
  <c r="AB27" i="8"/>
  <c r="Z45" i="8"/>
  <c r="Z46" i="8"/>
  <c r="Z47" i="8"/>
  <c r="Z49" i="8"/>
  <c r="Z5" i="8"/>
  <c r="Z8" i="8"/>
  <c r="AA46" i="8"/>
  <c r="AA47" i="8"/>
  <c r="AA49" i="8"/>
  <c r="AA5" i="8"/>
  <c r="AA8" i="8"/>
  <c r="AB46" i="8"/>
  <c r="AB47" i="8"/>
  <c r="AB49" i="8"/>
  <c r="AB50" i="8"/>
  <c r="AB6" i="8"/>
  <c r="AB8" i="8"/>
  <c r="M24" i="18"/>
  <c r="N24" i="18"/>
  <c r="O24" i="18"/>
  <c r="AA17" i="9"/>
  <c r="AB17" i="9"/>
  <c r="AC17" i="9"/>
  <c r="AC17" i="8"/>
  <c r="AD17" i="8"/>
  <c r="AE17" i="8"/>
  <c r="AC22" i="8"/>
  <c r="AC23" i="8"/>
  <c r="AC27" i="8"/>
  <c r="AD22" i="8"/>
  <c r="AD23" i="8"/>
  <c r="AD27" i="8"/>
  <c r="AE22" i="8"/>
  <c r="AE23" i="8"/>
  <c r="AE27" i="8"/>
  <c r="AC45" i="8"/>
  <c r="AC46" i="8"/>
  <c r="AC47" i="8"/>
  <c r="AC49" i="8"/>
  <c r="AC6" i="8"/>
  <c r="AC8" i="8"/>
  <c r="AD46" i="8"/>
  <c r="AD47" i="8"/>
  <c r="AD49" i="8"/>
  <c r="AD8" i="8"/>
  <c r="AE46" i="8"/>
  <c r="AE47" i="8"/>
  <c r="AE49" i="8"/>
  <c r="AE8" i="8"/>
  <c r="D40" i="18"/>
  <c r="E40" i="18"/>
  <c r="F40" i="18"/>
  <c r="AD17" i="9"/>
  <c r="AE17" i="9"/>
  <c r="AF17" i="9"/>
  <c r="AF17" i="8"/>
  <c r="AG17" i="8"/>
  <c r="AH17" i="8"/>
  <c r="AF22" i="8"/>
  <c r="AF23" i="8"/>
  <c r="AF27" i="8"/>
  <c r="AG22" i="8"/>
  <c r="AG23" i="8"/>
  <c r="AG27" i="8"/>
  <c r="AH22" i="8"/>
  <c r="AH23" i="8"/>
  <c r="AH27" i="8"/>
  <c r="AH31" i="8"/>
  <c r="AF45" i="8"/>
  <c r="AF46" i="8"/>
  <c r="AF47" i="8"/>
  <c r="AF49" i="8"/>
  <c r="AF8" i="8"/>
  <c r="AG46" i="8"/>
  <c r="AG47" i="8"/>
  <c r="AG49" i="8"/>
  <c r="AG6" i="8"/>
  <c r="AG8" i="8"/>
  <c r="AH46" i="8"/>
  <c r="AH47" i="8"/>
  <c r="AH49" i="8"/>
  <c r="AH6" i="8"/>
  <c r="AH8" i="8"/>
  <c r="G40" i="18"/>
  <c r="H40" i="18"/>
  <c r="I40" i="18"/>
  <c r="AG17" i="9"/>
  <c r="AH17" i="9"/>
  <c r="AI17" i="9"/>
  <c r="AI17" i="8"/>
  <c r="AJ17" i="8"/>
  <c r="AK17" i="8"/>
  <c r="AI22" i="8"/>
  <c r="AI23" i="8"/>
  <c r="AI27" i="8"/>
  <c r="AI31" i="8"/>
  <c r="AJ22" i="8"/>
  <c r="AJ23" i="8"/>
  <c r="AJ26" i="8"/>
  <c r="AJ27" i="8"/>
  <c r="AJ31" i="8"/>
  <c r="AK22" i="8"/>
  <c r="AK23" i="8"/>
  <c r="AK27" i="8"/>
  <c r="AI45" i="8"/>
  <c r="AI46" i="8"/>
  <c r="AI47" i="8"/>
  <c r="AI49" i="8"/>
  <c r="AI6" i="8"/>
  <c r="AI8" i="8"/>
  <c r="AJ46" i="8"/>
  <c r="AJ47" i="8"/>
  <c r="AJ49" i="8"/>
  <c r="AJ8" i="8"/>
  <c r="AK46" i="8"/>
  <c r="AK47" i="8"/>
  <c r="AK49" i="8"/>
  <c r="AK8" i="8"/>
  <c r="J40" i="18"/>
  <c r="K40" i="18"/>
  <c r="L40" i="18"/>
  <c r="AJ17" i="9"/>
  <c r="AK17" i="9"/>
  <c r="AL17" i="9"/>
  <c r="G55" i="9"/>
  <c r="E55" i="9"/>
  <c r="D55" i="9"/>
  <c r="C55" i="9"/>
  <c r="AL17" i="8"/>
  <c r="AM17" i="8"/>
  <c r="AN17" i="8"/>
  <c r="AL8" i="8"/>
  <c r="AM8" i="8"/>
  <c r="AN6" i="8"/>
  <c r="AN8" i="8"/>
  <c r="M45" i="18"/>
  <c r="M40" i="18"/>
  <c r="M46" i="18"/>
  <c r="AJ13" i="9"/>
  <c r="N45" i="18"/>
  <c r="N40" i="18"/>
  <c r="N46" i="18"/>
  <c r="AK13" i="9"/>
  <c r="O45" i="18"/>
  <c r="O40" i="18"/>
  <c r="O46" i="18"/>
  <c r="AL13" i="9"/>
  <c r="AL22" i="8"/>
  <c r="AM22" i="8"/>
  <c r="AN22" i="8"/>
  <c r="AL23" i="8"/>
  <c r="AM23" i="8"/>
  <c r="AN23" i="8"/>
  <c r="AL27" i="8"/>
  <c r="AM27" i="8"/>
  <c r="AN27" i="8"/>
  <c r="AL45" i="8"/>
  <c r="AL46" i="8"/>
  <c r="AM46" i="8"/>
  <c r="AN46" i="8"/>
  <c r="AL47" i="8"/>
  <c r="AM47" i="8"/>
  <c r="AN47" i="8"/>
  <c r="AL49" i="8"/>
  <c r="AM49" i="8"/>
  <c r="AN49" i="8"/>
  <c r="AN50" i="8"/>
  <c r="L48" i="13"/>
  <c r="E17" i="8"/>
  <c r="F17" i="8"/>
  <c r="G17" i="8"/>
  <c r="H17" i="8"/>
  <c r="I17" i="8"/>
  <c r="E22" i="8"/>
  <c r="F22" i="8"/>
  <c r="G22" i="8"/>
  <c r="H22" i="8"/>
  <c r="I22" i="8"/>
  <c r="E23" i="8"/>
  <c r="F23" i="8"/>
  <c r="G23" i="8"/>
  <c r="H23" i="8"/>
  <c r="I23" i="8"/>
  <c r="E37" i="8"/>
  <c r="F37" i="8"/>
  <c r="G37" i="8"/>
  <c r="H37" i="8"/>
  <c r="I37" i="8"/>
  <c r="E45" i="8"/>
  <c r="E47" i="8"/>
  <c r="F47" i="8"/>
  <c r="G47" i="8"/>
  <c r="H45" i="8"/>
  <c r="H47" i="8"/>
  <c r="I47" i="8"/>
  <c r="G48" i="13"/>
  <c r="D31" i="13"/>
  <c r="D7" i="13"/>
  <c r="D47" i="13"/>
  <c r="E31" i="13"/>
  <c r="E7" i="13"/>
  <c r="E47" i="13"/>
  <c r="F31" i="13"/>
  <c r="F7" i="13"/>
  <c r="F47" i="13"/>
  <c r="H31" i="13"/>
  <c r="H7" i="13"/>
  <c r="H47" i="13"/>
  <c r="I31" i="13"/>
  <c r="I7" i="13"/>
  <c r="I47" i="13"/>
  <c r="J31" i="13"/>
  <c r="J7" i="13"/>
  <c r="J47" i="13"/>
  <c r="K31" i="13"/>
  <c r="K7" i="13"/>
  <c r="K47" i="13"/>
  <c r="M31" i="13"/>
  <c r="M7" i="13"/>
  <c r="M47" i="13"/>
  <c r="N31" i="13"/>
  <c r="N7" i="13"/>
  <c r="N47" i="13"/>
  <c r="O31" i="13"/>
  <c r="O7" i="13"/>
  <c r="O47" i="13"/>
  <c r="P31" i="13"/>
  <c r="P7" i="13"/>
  <c r="P47" i="13"/>
  <c r="C31" i="13"/>
  <c r="C7" i="13"/>
  <c r="C47" i="13"/>
  <c r="Q44" i="13"/>
  <c r="L44" i="13"/>
  <c r="G44" i="13"/>
  <c r="G37" i="13"/>
  <c r="L37" i="13"/>
  <c r="Q37" i="13"/>
  <c r="G38" i="13"/>
  <c r="L38" i="13"/>
  <c r="Q38" i="13"/>
  <c r="G39" i="13"/>
  <c r="L39" i="13"/>
  <c r="Q39" i="13"/>
  <c r="G40" i="13"/>
  <c r="L40" i="13"/>
  <c r="Q40" i="13"/>
  <c r="G41" i="13"/>
  <c r="L41" i="13"/>
  <c r="Q41" i="13"/>
  <c r="G42" i="13"/>
  <c r="L42" i="13"/>
  <c r="Q42" i="13"/>
  <c r="Q36" i="13"/>
  <c r="L36" i="13"/>
  <c r="G36" i="13"/>
  <c r="Q18" i="13"/>
  <c r="L18" i="13"/>
  <c r="G18" i="13"/>
  <c r="D12" i="18"/>
  <c r="E12" i="18"/>
  <c r="F12" i="18"/>
  <c r="G12" i="18"/>
  <c r="H12" i="18"/>
  <c r="I12" i="18"/>
  <c r="J12" i="18"/>
  <c r="K12" i="18"/>
  <c r="L12" i="18"/>
  <c r="M12" i="18"/>
  <c r="P92" i="18"/>
  <c r="P91" i="18"/>
  <c r="P90" i="18"/>
  <c r="P89" i="18"/>
  <c r="P88" i="18"/>
  <c r="P87" i="18"/>
  <c r="P86" i="18"/>
  <c r="P85" i="18"/>
  <c r="P84" i="18"/>
  <c r="P83" i="18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D51" i="18"/>
  <c r="E51" i="18"/>
  <c r="F51" i="18"/>
  <c r="G51" i="18"/>
  <c r="H51" i="18"/>
  <c r="I51" i="18"/>
  <c r="J51" i="18"/>
  <c r="K51" i="18"/>
  <c r="L51" i="18"/>
  <c r="M51" i="18"/>
  <c r="P51" i="18"/>
  <c r="P37" i="18"/>
  <c r="P41" i="18"/>
  <c r="P25" i="18"/>
  <c r="P21" i="18"/>
  <c r="P12" i="18"/>
  <c r="P11" i="18"/>
  <c r="P8" i="18"/>
  <c r="P46" i="18"/>
  <c r="P29" i="18"/>
  <c r="P10" i="18"/>
  <c r="P9" i="18"/>
  <c r="AO6" i="8"/>
  <c r="AO7" i="8"/>
  <c r="AO8" i="8"/>
  <c r="AO10" i="8"/>
  <c r="AO11" i="8"/>
  <c r="AO12" i="8"/>
  <c r="AO23" i="8"/>
  <c r="AO24" i="8"/>
  <c r="AO25" i="8"/>
  <c r="AO26" i="8"/>
  <c r="AO27" i="8"/>
  <c r="AO28" i="8"/>
  <c r="AO29" i="8"/>
  <c r="AO30" i="8"/>
  <c r="AO31" i="8"/>
  <c r="AO5" i="8"/>
  <c r="AO17" i="8"/>
  <c r="AO22" i="8"/>
  <c r="AO37" i="8"/>
  <c r="AO45" i="8"/>
  <c r="AO46" i="8"/>
  <c r="AO47" i="8"/>
  <c r="AO48" i="8"/>
  <c r="AO49" i="8"/>
  <c r="AO50" i="8"/>
  <c r="AO61" i="8"/>
  <c r="J14" i="9"/>
  <c r="J18" i="9"/>
  <c r="J26" i="9"/>
  <c r="J5" i="9"/>
  <c r="J6" i="9"/>
  <c r="J7" i="9"/>
  <c r="J8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L14" i="9"/>
  <c r="K14" i="9"/>
  <c r="K18" i="9"/>
  <c r="K26" i="9"/>
  <c r="L18" i="9"/>
  <c r="L26" i="9"/>
  <c r="M18" i="9"/>
  <c r="M26" i="9"/>
  <c r="N18" i="9"/>
  <c r="N26" i="9"/>
  <c r="O18" i="9"/>
  <c r="O26" i="9"/>
  <c r="P18" i="9"/>
  <c r="P26" i="9"/>
  <c r="Q18" i="9"/>
  <c r="Q26" i="9"/>
  <c r="R18" i="9"/>
  <c r="R26" i="9"/>
  <c r="S18" i="9"/>
  <c r="S26" i="9"/>
  <c r="T18" i="9"/>
  <c r="T26" i="9"/>
  <c r="U18" i="9"/>
  <c r="U26" i="9"/>
  <c r="V18" i="9"/>
  <c r="V26" i="9"/>
  <c r="W18" i="9"/>
  <c r="W26" i="9"/>
  <c r="X18" i="9"/>
  <c r="X26" i="9"/>
  <c r="Y18" i="9"/>
  <c r="Y26" i="9"/>
  <c r="Z18" i="9"/>
  <c r="Z26" i="9"/>
  <c r="AA18" i="9"/>
  <c r="AA26" i="9"/>
  <c r="AB18" i="9"/>
  <c r="AB26" i="9"/>
  <c r="AC18" i="9"/>
  <c r="AC26" i="9"/>
  <c r="AD18" i="9"/>
  <c r="AD26" i="9"/>
  <c r="AE18" i="9"/>
  <c r="AE26" i="9"/>
  <c r="AF18" i="9"/>
  <c r="AF26" i="9"/>
  <c r="AG18" i="9"/>
  <c r="AG26" i="9"/>
  <c r="AH18" i="9"/>
  <c r="AH26" i="9"/>
  <c r="AI18" i="9"/>
  <c r="AI26" i="9"/>
  <c r="AJ18" i="9"/>
  <c r="AJ26" i="9"/>
  <c r="AK18" i="9"/>
  <c r="AK26" i="9"/>
  <c r="AL18" i="9"/>
  <c r="AL26" i="9"/>
  <c r="D45" i="9"/>
  <c r="E45" i="9"/>
  <c r="F45" i="9"/>
  <c r="G45" i="9"/>
  <c r="C45" i="9"/>
  <c r="AQ22" i="8"/>
  <c r="AQ24" i="8"/>
  <c r="AQ25" i="8"/>
  <c r="AQ26" i="8"/>
  <c r="AQ27" i="8"/>
  <c r="AQ28" i="8"/>
  <c r="AQ31" i="8"/>
  <c r="AQ30" i="8"/>
  <c r="AQ6" i="8"/>
  <c r="AQ7" i="8"/>
  <c r="AQ8" i="8"/>
  <c r="AQ17" i="8"/>
  <c r="AQ45" i="8"/>
  <c r="AQ5" i="8"/>
  <c r="AQ10" i="8"/>
  <c r="AQ11" i="8"/>
  <c r="AQ12" i="8"/>
  <c r="AQ23" i="8"/>
  <c r="AQ29" i="8"/>
  <c r="AQ37" i="8"/>
  <c r="AQ46" i="8"/>
  <c r="AQ47" i="8"/>
  <c r="AQ48" i="8"/>
  <c r="AQ49" i="8"/>
  <c r="AQ50" i="8"/>
  <c r="AQ61" i="8"/>
  <c r="AP27" i="8"/>
  <c r="AP6" i="8"/>
  <c r="AP7" i="8"/>
  <c r="AP8" i="8"/>
  <c r="AP17" i="8"/>
  <c r="AP45" i="8"/>
  <c r="AP5" i="8"/>
  <c r="AP10" i="8"/>
  <c r="AP11" i="8"/>
  <c r="AP12" i="8"/>
  <c r="AP22" i="8"/>
  <c r="AP23" i="8"/>
  <c r="AP24" i="8"/>
  <c r="AP25" i="8"/>
  <c r="AP26" i="8"/>
  <c r="AP28" i="8"/>
  <c r="AP29" i="8"/>
  <c r="AP30" i="8"/>
  <c r="AP31" i="8"/>
  <c r="AP37" i="8"/>
  <c r="AP46" i="8"/>
  <c r="AP47" i="8"/>
  <c r="AP48" i="8"/>
  <c r="AP49" i="8"/>
  <c r="AP50" i="8"/>
  <c r="AP61" i="8"/>
  <c r="Z5" i="18"/>
  <c r="AA5" i="18"/>
  <c r="AB5" i="18"/>
  <c r="AC5" i="18"/>
  <c r="AD5" i="18"/>
  <c r="AE5" i="18"/>
  <c r="D18" i="9"/>
  <c r="E18" i="9"/>
  <c r="F18" i="9"/>
  <c r="G18" i="9"/>
  <c r="C18" i="9"/>
  <c r="C36" i="9"/>
  <c r="D36" i="9"/>
  <c r="E36" i="9"/>
  <c r="P44" i="18"/>
  <c r="P45" i="18"/>
  <c r="P43" i="18"/>
  <c r="P40" i="18"/>
  <c r="P39" i="18"/>
  <c r="P38" i="18"/>
  <c r="P36" i="18"/>
  <c r="P35" i="18"/>
  <c r="P34" i="18"/>
  <c r="P24" i="18"/>
  <c r="P23" i="18"/>
  <c r="P22" i="18"/>
  <c r="P20" i="18"/>
  <c r="P19" i="18"/>
  <c r="P18" i="18"/>
  <c r="P28" i="18"/>
  <c r="P27" i="18"/>
  <c r="P7" i="18"/>
  <c r="P6" i="18"/>
  <c r="P5" i="18"/>
  <c r="C14" i="9"/>
  <c r="D14" i="9"/>
  <c r="E14" i="9"/>
  <c r="F14" i="9"/>
  <c r="F36" i="9"/>
  <c r="G14" i="9"/>
  <c r="G36" i="9"/>
  <c r="K5" i="9"/>
  <c r="K6" i="9"/>
  <c r="K7" i="9"/>
  <c r="K8" i="9"/>
  <c r="L5" i="9"/>
  <c r="L6" i="9"/>
  <c r="L7" i="9"/>
  <c r="L8" i="9"/>
  <c r="M5" i="9"/>
  <c r="M6" i="9"/>
  <c r="M7" i="9"/>
  <c r="M8" i="9"/>
  <c r="N5" i="9"/>
  <c r="N6" i="9"/>
  <c r="N7" i="9"/>
  <c r="N8" i="9"/>
  <c r="O5" i="9"/>
  <c r="O6" i="9"/>
  <c r="O7" i="9"/>
  <c r="O8" i="9"/>
  <c r="P5" i="9"/>
  <c r="P6" i="9"/>
  <c r="P7" i="9"/>
  <c r="P8" i="9"/>
  <c r="Q5" i="9"/>
  <c r="Q6" i="9"/>
  <c r="Q7" i="9"/>
  <c r="Q8" i="9"/>
  <c r="R5" i="9"/>
  <c r="R6" i="9"/>
  <c r="R7" i="9"/>
  <c r="R8" i="9"/>
  <c r="S5" i="9"/>
  <c r="S6" i="9"/>
  <c r="S7" i="9"/>
  <c r="S8" i="9"/>
  <c r="T5" i="9"/>
  <c r="T6" i="9"/>
  <c r="T7" i="9"/>
  <c r="T8" i="9"/>
  <c r="U5" i="9"/>
  <c r="U6" i="9"/>
  <c r="U7" i="9"/>
  <c r="U8" i="9"/>
  <c r="V5" i="9"/>
  <c r="V6" i="9"/>
  <c r="V7" i="9"/>
  <c r="V8" i="9"/>
  <c r="W5" i="9"/>
  <c r="W6" i="9"/>
  <c r="W7" i="9"/>
  <c r="W8" i="9"/>
  <c r="X5" i="9"/>
  <c r="X6" i="9"/>
  <c r="X7" i="9"/>
  <c r="X8" i="9"/>
  <c r="Y5" i="9"/>
  <c r="Y6" i="9"/>
  <c r="Y7" i="9"/>
  <c r="Y8" i="9"/>
  <c r="Z5" i="9"/>
  <c r="Z6" i="9"/>
  <c r="Z7" i="9"/>
  <c r="Z8" i="9"/>
  <c r="AA5" i="9"/>
  <c r="AA6" i="9"/>
  <c r="AA7" i="9"/>
  <c r="AA8" i="9"/>
  <c r="AB5" i="9"/>
  <c r="AB6" i="9"/>
  <c r="AB7" i="9"/>
  <c r="AB8" i="9"/>
  <c r="AC5" i="9"/>
  <c r="AC6" i="9"/>
  <c r="AC7" i="9"/>
  <c r="AC8" i="9"/>
  <c r="AD5" i="9"/>
  <c r="AD6" i="9"/>
  <c r="AD7" i="9"/>
  <c r="AD8" i="9"/>
  <c r="AE5" i="9"/>
  <c r="AE6" i="9"/>
  <c r="AE7" i="9"/>
  <c r="AE8" i="9"/>
  <c r="AF5" i="9"/>
  <c r="AF6" i="9"/>
  <c r="AF7" i="9"/>
  <c r="AF8" i="9"/>
  <c r="AG5" i="9"/>
  <c r="AG6" i="9"/>
  <c r="AG7" i="9"/>
  <c r="AG8" i="9"/>
  <c r="AH5" i="9"/>
  <c r="AH6" i="9"/>
  <c r="AH7" i="9"/>
  <c r="AH8" i="9"/>
  <c r="AI5" i="9"/>
  <c r="AI6" i="9"/>
  <c r="AI7" i="9"/>
  <c r="AI8" i="9"/>
  <c r="AJ5" i="9"/>
  <c r="AJ6" i="9"/>
  <c r="AJ7" i="9"/>
  <c r="AJ8" i="9"/>
  <c r="AK5" i="9"/>
  <c r="AK6" i="9"/>
  <c r="AK7" i="9"/>
  <c r="AK8" i="9"/>
  <c r="AL5" i="9"/>
  <c r="AL6" i="9"/>
  <c r="AL7" i="9"/>
  <c r="AL8" i="9"/>
  <c r="Q49" i="13"/>
  <c r="Q9" i="13"/>
  <c r="Q6" i="13"/>
  <c r="Q5" i="13"/>
  <c r="L49" i="13"/>
  <c r="L9" i="13"/>
  <c r="L6" i="13"/>
  <c r="L5" i="13"/>
  <c r="G9" i="13"/>
  <c r="G5" i="13"/>
  <c r="G6" i="13"/>
  <c r="G49" i="13"/>
  <c r="D54" i="3"/>
  <c r="D53" i="3"/>
  <c r="D52" i="3"/>
  <c r="C52" i="3"/>
  <c r="D20" i="4"/>
  <c r="E9" i="3"/>
  <c r="E14" i="4"/>
  <c r="E54" i="3"/>
  <c r="E21" i="4"/>
  <c r="F19" i="4"/>
  <c r="E19" i="4"/>
  <c r="D19" i="4"/>
  <c r="C19" i="4"/>
  <c r="D10" i="4"/>
  <c r="E10" i="4"/>
  <c r="F10" i="4"/>
  <c r="C10" i="4"/>
  <c r="D9" i="4"/>
  <c r="D20" i="3"/>
  <c r="C20" i="3"/>
  <c r="D18" i="4"/>
  <c r="D16" i="4"/>
  <c r="E9" i="4"/>
  <c r="E21" i="3"/>
  <c r="E20" i="3"/>
  <c r="E18" i="4"/>
  <c r="E16" i="4"/>
  <c r="F9" i="4"/>
  <c r="F21" i="3"/>
  <c r="F20" i="3"/>
  <c r="F18" i="4"/>
  <c r="F16" i="4"/>
  <c r="C9" i="4"/>
  <c r="C18" i="4"/>
  <c r="C16" i="4"/>
  <c r="D8" i="4"/>
  <c r="E8" i="4"/>
  <c r="F8" i="4"/>
  <c r="C8" i="4"/>
  <c r="F31" i="4"/>
  <c r="D31" i="4"/>
  <c r="C31" i="4"/>
  <c r="F26" i="4"/>
  <c r="D26" i="4"/>
  <c r="D25" i="4"/>
  <c r="C26" i="4"/>
  <c r="C77" i="3"/>
  <c r="D32" i="3"/>
  <c r="E32" i="3"/>
  <c r="F32" i="3"/>
  <c r="C32" i="3"/>
  <c r="F77" i="3"/>
  <c r="E77" i="3"/>
  <c r="D77" i="3"/>
  <c r="F76" i="3"/>
  <c r="E76" i="3"/>
  <c r="D76" i="3"/>
  <c r="C76" i="3"/>
  <c r="F65" i="3"/>
  <c r="E65" i="3"/>
  <c r="D65" i="3"/>
  <c r="C65" i="3"/>
  <c r="F54" i="3"/>
  <c r="F21" i="4"/>
  <c r="C54" i="3"/>
  <c r="C21" i="4"/>
  <c r="F52" i="3"/>
  <c r="E52" i="3"/>
  <c r="F20" i="4"/>
  <c r="C20" i="4"/>
  <c r="F50" i="3"/>
  <c r="E50" i="3"/>
  <c r="D50" i="3"/>
  <c r="C50" i="3"/>
  <c r="F47" i="3"/>
  <c r="F46" i="3"/>
  <c r="E47" i="3"/>
  <c r="E46" i="3"/>
  <c r="D47" i="3"/>
  <c r="D46" i="3"/>
  <c r="C47" i="3"/>
  <c r="C46" i="3"/>
  <c r="C42" i="3"/>
  <c r="C41" i="3"/>
  <c r="C40" i="3"/>
  <c r="F42" i="3"/>
  <c r="E42" i="3"/>
  <c r="E41" i="3"/>
  <c r="E40" i="3"/>
  <c r="D42" i="3"/>
  <c r="D41" i="3"/>
  <c r="D40" i="3"/>
  <c r="F41" i="3"/>
  <c r="E17" i="3"/>
  <c r="E7" i="3"/>
  <c r="E26" i="3"/>
  <c r="D17" i="3"/>
  <c r="C17" i="3"/>
  <c r="F9" i="3"/>
  <c r="F7" i="3"/>
  <c r="D9" i="3"/>
  <c r="C9" i="3"/>
  <c r="C14" i="4"/>
  <c r="F40" i="3"/>
  <c r="F17" i="3"/>
  <c r="F26" i="3"/>
  <c r="D21" i="4"/>
  <c r="D7" i="3"/>
  <c r="D26" i="3"/>
  <c r="D14" i="4"/>
  <c r="F25" i="4"/>
  <c r="E20" i="4"/>
  <c r="F14" i="4"/>
  <c r="C25" i="4"/>
  <c r="C7" i="3"/>
  <c r="C26" i="3"/>
  <c r="C37" i="3"/>
  <c r="C31" i="3"/>
  <c r="C7" i="4"/>
  <c r="C12" i="4"/>
  <c r="C23" i="4"/>
  <c r="F37" i="3"/>
  <c r="F31" i="3"/>
  <c r="E37" i="3"/>
  <c r="E31" i="3"/>
  <c r="E7" i="4"/>
  <c r="E12" i="4"/>
  <c r="E23" i="4"/>
  <c r="C75" i="3"/>
  <c r="C78" i="3"/>
  <c r="C59" i="3"/>
  <c r="D7" i="4"/>
  <c r="D12" i="4"/>
  <c r="D23" i="4"/>
  <c r="D37" i="3"/>
  <c r="D31" i="3"/>
  <c r="D75" i="3"/>
  <c r="D78" i="3"/>
  <c r="F7" i="4"/>
  <c r="F12" i="4"/>
  <c r="F23" i="4"/>
  <c r="E75" i="3"/>
  <c r="E78" i="3"/>
  <c r="E59" i="3"/>
  <c r="F75" i="3"/>
  <c r="F78" i="3"/>
  <c r="F59" i="3"/>
  <c r="D59" i="3"/>
</calcChain>
</file>

<file path=xl/sharedStrings.xml><?xml version="1.0" encoding="utf-8"?>
<sst xmlns="http://schemas.openxmlformats.org/spreadsheetml/2006/main" count="1012" uniqueCount="312">
  <si>
    <t>Budget 2017</t>
  </si>
  <si>
    <t>Plan 2018</t>
  </si>
  <si>
    <t>Plan 2019</t>
  </si>
  <si>
    <t>Afschrijvingen</t>
  </si>
  <si>
    <t>Uitgekeerde winsten</t>
  </si>
  <si>
    <t>Personeelskosten</t>
  </si>
  <si>
    <t>Financieel plan : balans</t>
  </si>
  <si>
    <t>Actief</t>
  </si>
  <si>
    <t>Actuals 2016
van…. tot 31/12/2016</t>
  </si>
  <si>
    <t>Vaste activa</t>
  </si>
  <si>
    <t>Immateriële VA</t>
  </si>
  <si>
    <t>Materiële VA</t>
  </si>
  <si>
    <t>Terreinen &amp; gebouwen</t>
  </si>
  <si>
    <t>Installaties,Machines, Uitrusting</t>
  </si>
  <si>
    <t>Meubilair &amp; R.M.</t>
  </si>
  <si>
    <t>Leasing</t>
  </si>
  <si>
    <t>Overige</t>
  </si>
  <si>
    <t>Financiële VA</t>
  </si>
  <si>
    <t>Vlottende Activa</t>
  </si>
  <si>
    <t>Vorderingen op lange Termijn</t>
  </si>
  <si>
    <t>Voorraden &amp; BIU</t>
  </si>
  <si>
    <t>Vorderingen op ten hoogste 1 jaar</t>
  </si>
  <si>
    <t>Handelsvorderingen</t>
  </si>
  <si>
    <t>Overige vorderingen</t>
  </si>
  <si>
    <t>Geldbeleggingen</t>
  </si>
  <si>
    <t>Liquide middelen</t>
  </si>
  <si>
    <t>Overlopende rekeningen</t>
  </si>
  <si>
    <t>Totaal Actief</t>
  </si>
  <si>
    <t>Passief</t>
  </si>
  <si>
    <t>Eigen vermogen</t>
  </si>
  <si>
    <t>Kapitaal</t>
  </si>
  <si>
    <t>Reserves</t>
  </si>
  <si>
    <t>Kapitaalsubsidies</t>
  </si>
  <si>
    <t>Schulden</t>
  </si>
  <si>
    <t>Schulden op meer dan 1 jaar</t>
  </si>
  <si>
    <t>Financiële schulden</t>
  </si>
  <si>
    <t>- kredietinstellingen</t>
  </si>
  <si>
    <t>Overige schulden</t>
  </si>
  <si>
    <t>Schulden op minder dan 1 jaar</t>
  </si>
  <si>
    <t>LT schulden die binnen het jaar verv.</t>
  </si>
  <si>
    <t>- overige leningen</t>
  </si>
  <si>
    <t>Handelsschulden</t>
  </si>
  <si>
    <t>- leveranciers</t>
  </si>
  <si>
    <t>Schulden mbt bel, bez, S.L.</t>
  </si>
  <si>
    <t>- belastingen</t>
  </si>
  <si>
    <t>- bezoldigingen &amp; sociale lasten</t>
  </si>
  <si>
    <t>Overlopende schulden</t>
  </si>
  <si>
    <t>Totaal Passief</t>
  </si>
  <si>
    <t>Investeringen</t>
  </si>
  <si>
    <t>Immaterieel vast actief</t>
  </si>
  <si>
    <t>Materieel vast actief</t>
  </si>
  <si>
    <t>Oprichtingskosten immaterieel</t>
  </si>
  <si>
    <t>terreinen &amp; gebouwen</t>
  </si>
  <si>
    <t>Schuldgraad</t>
  </si>
  <si>
    <t>Bankschulden</t>
  </si>
  <si>
    <t>Schulden à zaakv.</t>
  </si>
  <si>
    <t>Geplaatst</t>
  </si>
  <si>
    <t>Veranderlijk</t>
  </si>
  <si>
    <t>Niet-opgevraagd (-)</t>
  </si>
  <si>
    <t>Overgedragen winst/(verlies)</t>
  </si>
  <si>
    <t>Cash-flow statement</t>
  </si>
  <si>
    <t>Res v/h boekjaar</t>
  </si>
  <si>
    <t>Waardeverminderingen</t>
  </si>
  <si>
    <t>Cash-Flow uit exploitatie</t>
  </si>
  <si>
    <t>Investeringen/desinvesteringen</t>
  </si>
  <si>
    <t>Bedrijfskapitaal</t>
  </si>
  <si>
    <t>Voorraden</t>
  </si>
  <si>
    <t>Klanten</t>
  </si>
  <si>
    <t>Leveranciers</t>
  </si>
  <si>
    <t>Andere niet financiële schulden</t>
  </si>
  <si>
    <t>Free cash-flow</t>
  </si>
  <si>
    <t>xxxx</t>
  </si>
  <si>
    <t>Aflossingen</t>
  </si>
  <si>
    <t>XXX</t>
  </si>
  <si>
    <t>Nieuwe kredieten</t>
  </si>
  <si>
    <t>FORECAST</t>
  </si>
  <si>
    <t>Total Binnenkomend geld</t>
  </si>
  <si>
    <t>NET (IN - UIT)</t>
  </si>
  <si>
    <t>Gebudgetteerd eindsaldo</t>
  </si>
  <si>
    <t>T.T.V. BTW</t>
  </si>
  <si>
    <t>Subtotaal</t>
  </si>
  <si>
    <t>Te betalen BTW</t>
  </si>
  <si>
    <t>Totaal</t>
  </si>
  <si>
    <t>jan. 18</t>
  </si>
  <si>
    <t>feb. 18</t>
  </si>
  <si>
    <t>mrt. 18</t>
  </si>
  <si>
    <t>apr. 18</t>
  </si>
  <si>
    <t>jun. 18</t>
  </si>
  <si>
    <t>jul. 18</t>
  </si>
  <si>
    <t>aug. 18</t>
  </si>
  <si>
    <t>sep. 18</t>
  </si>
  <si>
    <t>okt. 18</t>
  </si>
  <si>
    <t>nov. 18</t>
  </si>
  <si>
    <t>dec. 18</t>
  </si>
  <si>
    <t>Rekening</t>
  </si>
  <si>
    <t>Q1 - 2018</t>
  </si>
  <si>
    <t>Q2- 2018</t>
  </si>
  <si>
    <t>Q3 - 2018</t>
  </si>
  <si>
    <t>Q4 - 2018</t>
  </si>
  <si>
    <t>Boekjaar 1 - totaal</t>
  </si>
  <si>
    <t>BUDGET</t>
  </si>
  <si>
    <t>TOTAAL OMZET</t>
  </si>
  <si>
    <t>Winst (+) / Verlies (-)</t>
  </si>
  <si>
    <t>Belastingen op het resultaat (vennootschapsbelasting)</t>
  </si>
  <si>
    <t>Resultaat na belastingen</t>
  </si>
  <si>
    <t>TOTAAL KOSTEN</t>
  </si>
  <si>
    <t>mei. 18</t>
  </si>
  <si>
    <t>Cash flow planning</t>
  </si>
  <si>
    <t>Cash inflow</t>
  </si>
  <si>
    <t>Totaal cash inflow</t>
  </si>
  <si>
    <t>Cash outflow</t>
  </si>
  <si>
    <t>Total cash outflow</t>
  </si>
  <si>
    <t>Total cash inflow</t>
  </si>
  <si>
    <t>Total cash outlofw</t>
  </si>
  <si>
    <t>TOTAAL PERSONEELSKOSTEN</t>
  </si>
  <si>
    <t>TOTAAL INFORMATICAKOSTEN</t>
  </si>
  <si>
    <t>TOTAAL ADMINISTRATIEVE EN ALGEMENE KOSTEN</t>
  </si>
  <si>
    <t>TOTAAL MARKETINGKOSTEN EN SALESKOSTEN</t>
  </si>
  <si>
    <t>TOTAAL AFSCHRIJVINGEN</t>
  </si>
  <si>
    <t>TOTAAL MOBILITEIT</t>
  </si>
  <si>
    <t>Informaticakosten</t>
  </si>
  <si>
    <t>TOTAAL FINANCIELE KOSTEN</t>
  </si>
  <si>
    <t>Beschrijving</t>
  </si>
  <si>
    <t>Kost</t>
  </si>
  <si>
    <t>Kwartaal</t>
  </si>
  <si>
    <t>Maand</t>
  </si>
  <si>
    <t>Per</t>
  </si>
  <si>
    <t>Mobiliteit</t>
  </si>
  <si>
    <t>Marketing- en saleskosten</t>
  </si>
  <si>
    <t>Administratieve en algemene kosten</t>
  </si>
  <si>
    <t>Jaar</t>
  </si>
  <si>
    <t>Terugbetalingen leningen</t>
  </si>
  <si>
    <t>jan. 19</t>
  </si>
  <si>
    <t>feb. 19</t>
  </si>
  <si>
    <t>mrt. 19</t>
  </si>
  <si>
    <t>apr. 19</t>
  </si>
  <si>
    <t>mei. 19</t>
  </si>
  <si>
    <t>jun. 19</t>
  </si>
  <si>
    <t>jul. 19</t>
  </si>
  <si>
    <t>aug. 19</t>
  </si>
  <si>
    <t>sep. 19</t>
  </si>
  <si>
    <t>okt. 19</t>
  </si>
  <si>
    <t>nov. 19</t>
  </si>
  <si>
    <t>dec. 19</t>
  </si>
  <si>
    <t>jan. 20</t>
  </si>
  <si>
    <t>feb. 20</t>
  </si>
  <si>
    <t>mrt. 20</t>
  </si>
  <si>
    <t>apr. 20</t>
  </si>
  <si>
    <t>mei. 20</t>
  </si>
  <si>
    <t>jun. 20</t>
  </si>
  <si>
    <t>jul. 20</t>
  </si>
  <si>
    <t>aug. 20</t>
  </si>
  <si>
    <t>sep. 20</t>
  </si>
  <si>
    <t>okt. 20</t>
  </si>
  <si>
    <t>nov. 20</t>
  </si>
  <si>
    <t>dec. 20</t>
  </si>
  <si>
    <t>TOTAAL 2018</t>
  </si>
  <si>
    <t>TOTAAL 2019</t>
  </si>
  <si>
    <t>TOTAAL 2020</t>
  </si>
  <si>
    <t>Q1 - 2019</t>
  </si>
  <si>
    <t>Q2- 2019</t>
  </si>
  <si>
    <t>Q3 - 2019</t>
  </si>
  <si>
    <t>Q4 - 2019</t>
  </si>
  <si>
    <t>Boekjaar 2 - totaal</t>
  </si>
  <si>
    <t>Q1 - 2020</t>
  </si>
  <si>
    <t>Q2- 2020</t>
  </si>
  <si>
    <t>Q3 - 2020</t>
  </si>
  <si>
    <t>Q4 - 2020</t>
  </si>
  <si>
    <t>Boekjaar 3 - totaal</t>
  </si>
  <si>
    <t>Rente</t>
  </si>
  <si>
    <t>Periode</t>
  </si>
  <si>
    <t>Maanden</t>
  </si>
  <si>
    <t>Hoofdsom</t>
  </si>
  <si>
    <t>Resterend kapitaal</t>
  </si>
  <si>
    <t>Q1</t>
  </si>
  <si>
    <t>Q2</t>
  </si>
  <si>
    <t>Q3</t>
  </si>
  <si>
    <t>Q4</t>
  </si>
  <si>
    <t>Total 2018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</si>
  <si>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</si>
  <si>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</si>
  <si>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</si>
  <si>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</si>
  <si>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</si>
  <si>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</si>
  <si>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</si>
  <si>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</si>
  <si>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</si>
  <si>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</si>
  <si>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</si>
  <si>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</si>
  <si>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target revenue new customers</t>
  </si>
  <si>
    <t># Nieuwe betalende adressen - Optie 1</t>
  </si>
  <si>
    <t># Nieuwe betalende adressen - Optie 2</t>
  </si>
  <si>
    <t># Nieuwe grote partnerships</t>
  </si>
  <si>
    <t>Grote partnerships</t>
  </si>
  <si>
    <t>Total 2019</t>
  </si>
  <si>
    <t>€ Recurring Rev from 2018</t>
  </si>
  <si>
    <t>Total recurring revenue</t>
  </si>
  <si>
    <t>Global revenue</t>
  </si>
  <si>
    <t># nieuwe betalende adressen</t>
  </si>
  <si>
    <t>Financiering</t>
  </si>
  <si>
    <t>Bullet loan</t>
  </si>
  <si>
    <t>Zaakvoerders</t>
  </si>
  <si>
    <t>Jobstudenten // Stagiairs</t>
  </si>
  <si>
    <t>Boekhouding</t>
  </si>
  <si>
    <t>Huur kantoor</t>
  </si>
  <si>
    <t xml:space="preserve">Softwareprogramma’s (Teamleader, Mailchimp, Canva, Slack, Trello,…) </t>
  </si>
  <si>
    <t>Transportkosten</t>
  </si>
  <si>
    <t>Kantoormateriaal</t>
  </si>
  <si>
    <t>Erelonen juridisch advies</t>
  </si>
  <si>
    <t>variabel</t>
  </si>
  <si>
    <t>Extern advies</t>
  </si>
  <si>
    <t>Buffer</t>
  </si>
  <si>
    <t>App (Aantal geregistreerde gebruikers)</t>
  </si>
  <si>
    <t>Webapp (bezoekers/maand)</t>
  </si>
  <si>
    <t>Facebook</t>
  </si>
  <si>
    <t>Google Ads</t>
  </si>
  <si>
    <t>Druk posters, flyers, stickers voor bedrijven</t>
  </si>
  <si>
    <t>Druk brochures scholen (per 30.000 brochures)</t>
  </si>
  <si>
    <t>Lay-out drukwerk (eenmalig)</t>
  </si>
  <si>
    <t>Campagne verzenden marketingmateriaal naar klanten</t>
  </si>
  <si>
    <t>Campagne afleveren brochures scholen</t>
  </si>
  <si>
    <t xml:space="preserve">Afwerken promofilm PARC </t>
  </si>
  <si>
    <t>Perscampagne</t>
  </si>
  <si>
    <t>Variabel</t>
  </si>
  <si>
    <t>Eenmalig</t>
  </si>
  <si>
    <t>5% groei</t>
  </si>
  <si>
    <t>Ontwikkeling product</t>
  </si>
  <si>
    <t>Zomeractie aan zee</t>
  </si>
  <si>
    <t>Verzekeringen // Taxen</t>
  </si>
  <si>
    <t>Afschrijvingen - Ontwikkeling product</t>
  </si>
  <si>
    <t>Total 2020</t>
  </si>
  <si>
    <t>Laptop / IT materiaal</t>
  </si>
  <si>
    <t>Gsm abonnement</t>
  </si>
  <si>
    <t>Persoon/Maand</t>
  </si>
  <si>
    <t>Opleidingskosten</t>
  </si>
  <si>
    <t>Teambudget</t>
  </si>
  <si>
    <t>Persoon/Half jaar</t>
  </si>
  <si>
    <t>Hosting</t>
  </si>
  <si>
    <t>Half jaar</t>
  </si>
  <si>
    <r>
      <t xml:space="preserve">Beginsaldo liquide middelen per </t>
    </r>
    <r>
      <rPr>
        <sz val="10"/>
        <color rgb="FFFF0000"/>
        <rFont val="Calibri"/>
        <family val="2"/>
      </rPr>
      <t>01/06/2018</t>
    </r>
  </si>
  <si>
    <t>Promo's bij Optie 1</t>
  </si>
  <si>
    <t>#Promo's bij Optie 1 (per maand)</t>
  </si>
  <si>
    <t>Total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</si>
  <si>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</si>
  <si>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</si>
  <si>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</si>
  <si>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</si>
  <si>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</si>
  <si>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</si>
  <si>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</si>
  <si>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</si>
  <si>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</si>
  <si>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</si>
  <si>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</si>
  <si>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</si>
  <si>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</si>
  <si>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</si>
  <si>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</si>
  <si>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</si>
  <si>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</si>
  <si>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</si>
  <si>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</si>
  <si>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</si>
  <si>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</si>
  <si>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</si>
  <si>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</si>
  <si>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</si>
  <si>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</si>
  <si>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</si>
  <si>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Revenue spreiding - Abonnementen (excl promo's)</t>
  </si>
  <si>
    <t>PROMO'S</t>
  </si>
  <si>
    <t>Verkopen</t>
  </si>
  <si>
    <t>BTW</t>
  </si>
  <si>
    <t>Effectief te krijgen/te betalen</t>
  </si>
  <si>
    <t xml:space="preserve">Leningen </t>
  </si>
  <si>
    <t>Customer support</t>
  </si>
  <si>
    <t>Communicatie/marketing persoon</t>
  </si>
  <si>
    <t>Events</t>
  </si>
  <si>
    <t>Business developer</t>
  </si>
  <si>
    <t>Afschrijving op 10Y</t>
  </si>
  <si>
    <t>#Promo's bij Optie 1 (normale maand)</t>
  </si>
  <si>
    <t>PMV Startlening+</t>
  </si>
  <si>
    <t>Interesten leningen</t>
  </si>
  <si>
    <t>Leningen!A1</t>
  </si>
  <si>
    <t>Interest leningen</t>
  </si>
  <si>
    <t>PMV lening</t>
  </si>
  <si>
    <t>+ 1 jaar franchise</t>
  </si>
  <si>
    <t>Indirecte sales</t>
  </si>
  <si>
    <t>Directe sales</t>
  </si>
  <si>
    <t xml:space="preserve">Adressen aangeschreven </t>
  </si>
  <si>
    <t>Plaatst zichzelf op Parc</t>
  </si>
  <si>
    <t>Converteert naar betalend</t>
  </si>
  <si>
    <t>Aantal stagiairs/jobstudenten</t>
  </si>
  <si>
    <t xml:space="preserve">Aantal salesmensen </t>
  </si>
  <si>
    <t>Afspraken per maand</t>
  </si>
  <si>
    <t>Dagen werken per maand</t>
  </si>
  <si>
    <t>Adressen aangeschrijven per dag per stagiair</t>
  </si>
  <si>
    <t>Optie 1: Ongelimiteerd evenementen (First year offer)</t>
  </si>
  <si>
    <t>Optie 2: Ongelimiteerd evenementen + promo's (First year offer)</t>
  </si>
  <si>
    <t>€ Recurring Rev from 2018 (10% hogere prijs jaar 2)</t>
  </si>
  <si>
    <t>€ Recurring Rev from 2019 (10% hogere prijs jaar 2)</t>
  </si>
  <si>
    <t>* 1 persoon kan 15 afspraken per week doen (Gemiddeld dus 60 afspraken per maand)</t>
  </si>
  <si>
    <t>Totale sales</t>
  </si>
  <si>
    <t>REVENUE JAARLIJKSE ABONNEMENTEN</t>
  </si>
  <si>
    <t>10% groei</t>
  </si>
  <si>
    <t>+ 2500 maand</t>
  </si>
  <si>
    <t>+ 3500/maand</t>
  </si>
  <si>
    <t>+ 4000/maand</t>
  </si>
  <si>
    <t>Investering</t>
  </si>
  <si>
    <t>* Een stagiair kan 250 adressen in een database plaatsen per dag (Gemiddeld 2.000 adressen per maand aanschrijven)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</si>
</sst>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€&quot;\ #,##0.00_);[Red]\(&quot;€&quot;\ #,##0.00\)"/>
    <numFmt numFmtId="41" formatCode="_(* #,##0_);_(* \(#,##0\);_(* &quot;-&quot;_);_(@_)"/>
    <numFmt numFmtId="164" formatCode="_-* #,##0.00\ &quot;€&quot;_-;\-* #,##0.00\ &quot;€&quot;_-;_-* &quot;-&quot;??\ &quot;€&quot;_-;_-@_-"/>
    <numFmt numFmtId="165" formatCode="_ * #,##0_ ;_ * \-#,##0_ ;_ * &quot;-&quot;_ ;_ @_ "/>
    <numFmt numFmtId="166" formatCode="&quot;€&quot;\ #,##0"/>
    <numFmt numFmtId="167" formatCode="&quot;€&quot;\ #,##0.00"/>
    <numFmt numFmtId="168" formatCode="#,###.00"/>
    <numFmt numFmtId="169" formatCode="#,###.##"/>
    <numFmt numFmtId="170" formatCode="0.000%"/>
    <numFmt numFmtId="171" formatCode="0.0%"/>
  </numFmts>
  <fonts count="4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Arial"/>
      <family val="2"/>
    </font>
    <font>
      <i/>
      <sz val="8"/>
      <color rgb="FF000000"/>
      <name val="Arial"/>
      <family val="2"/>
    </font>
    <font>
      <i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u/>
      <sz val="10"/>
      <color rgb="FF000000"/>
      <name val="Calibri"/>
      <family val="2"/>
    </font>
    <font>
      <b/>
      <sz val="10"/>
      <color indexed="9"/>
      <name val="Calibri"/>
      <family val="2"/>
    </font>
    <font>
      <b/>
      <sz val="10"/>
      <color theme="5" tint="-0.249977111117893"/>
      <name val="Calibri"/>
      <family val="2"/>
    </font>
    <font>
      <sz val="10"/>
      <color theme="5" tint="-0.249977111117893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55"/>
      </right>
      <top/>
      <bottom style="thin">
        <color auto="1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/>
    <xf numFmtId="0" fontId="26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33"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/>
    <xf numFmtId="0" fontId="0" fillId="0" borderId="0" xfId="0"/>
    <xf numFmtId="0" fontId="4" fillId="0" borderId="0" xfId="0" applyFont="1"/>
    <xf numFmtId="0" fontId="9" fillId="0" borderId="0" xfId="0" applyFont="1" applyFill="1"/>
    <xf numFmtId="4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9" fillId="0" borderId="0" xfId="0" applyFont="1"/>
    <xf numFmtId="166" fontId="5" fillId="3" borderId="0" xfId="0" applyNumberFormat="1" applyFont="1" applyFill="1"/>
    <xf numFmtId="0" fontId="0" fillId="4" borderId="0" xfId="0" applyFill="1"/>
    <xf numFmtId="0" fontId="10" fillId="4" borderId="0" xfId="0" applyFont="1" applyFill="1"/>
    <xf numFmtId="0" fontId="11" fillId="0" borderId="0" xfId="0" applyFont="1"/>
    <xf numFmtId="3" fontId="0" fillId="0" borderId="0" xfId="0" applyNumberFormat="1"/>
    <xf numFmtId="3" fontId="13" fillId="0" borderId="0" xfId="0" applyNumberFormat="1" applyFont="1"/>
    <xf numFmtId="0" fontId="15" fillId="0" borderId="1" xfId="0" applyFont="1" applyBorder="1"/>
    <xf numFmtId="0" fontId="13" fillId="0" borderId="0" xfId="0" applyFont="1"/>
    <xf numFmtId="3" fontId="0" fillId="4" borderId="0" xfId="0" applyNumberFormat="1" applyFill="1"/>
    <xf numFmtId="3" fontId="5" fillId="3" borderId="0" xfId="0" applyNumberFormat="1" applyFont="1" applyFill="1"/>
    <xf numFmtId="3" fontId="9" fillId="0" borderId="0" xfId="0" applyNumberFormat="1" applyFont="1"/>
    <xf numFmtId="3" fontId="11" fillId="0" borderId="0" xfId="0" applyNumberFormat="1" applyFont="1"/>
    <xf numFmtId="3" fontId="17" fillId="0" borderId="0" xfId="0" quotePrefix="1" applyNumberFormat="1" applyFont="1"/>
    <xf numFmtId="3" fontId="11" fillId="0" borderId="0" xfId="0" quotePrefix="1" applyNumberFormat="1" applyFont="1"/>
    <xf numFmtId="3" fontId="4" fillId="0" borderId="1" xfId="0" applyNumberFormat="1" applyFont="1" applyBorder="1"/>
    <xf numFmtId="0" fontId="10" fillId="2" borderId="0" xfId="0" applyFont="1" applyFill="1"/>
    <xf numFmtId="0" fontId="0" fillId="0" borderId="2" xfId="0" applyBorder="1"/>
    <xf numFmtId="0" fontId="0" fillId="0" borderId="0" xfId="0" applyBorder="1"/>
    <xf numFmtId="167" fontId="0" fillId="0" borderId="0" xfId="0" applyNumberFormat="1"/>
    <xf numFmtId="0" fontId="12" fillId="0" borderId="0" xfId="0" applyFont="1" applyBorder="1"/>
    <xf numFmtId="167" fontId="11" fillId="0" borderId="0" xfId="0" applyNumberFormat="1" applyFont="1"/>
    <xf numFmtId="0" fontId="12" fillId="0" borderId="0" xfId="0" applyFont="1" applyFill="1" applyBorder="1"/>
    <xf numFmtId="0" fontId="0" fillId="2" borderId="2" xfId="0" applyFill="1" applyBorder="1" applyAlignment="1">
      <alignment horizontal="left"/>
    </xf>
    <xf numFmtId="9" fontId="0" fillId="0" borderId="0" xfId="1" applyFont="1" applyBorder="1"/>
    <xf numFmtId="9" fontId="13" fillId="0" borderId="0" xfId="1" applyFont="1" applyBorder="1"/>
    <xf numFmtId="0" fontId="6" fillId="0" borderId="2" xfId="0" applyFont="1" applyBorder="1"/>
    <xf numFmtId="0" fontId="6" fillId="0" borderId="0" xfId="0" applyFont="1" applyBorder="1"/>
    <xf numFmtId="166" fontId="6" fillId="0" borderId="0" xfId="0" applyNumberFormat="1" applyFont="1" applyBorder="1"/>
    <xf numFmtId="166" fontId="19" fillId="0" borderId="0" xfId="0" applyNumberFormat="1" applyFont="1" applyBorder="1"/>
    <xf numFmtId="0" fontId="1" fillId="4" borderId="0" xfId="0" applyFont="1" applyFill="1"/>
    <xf numFmtId="0" fontId="1" fillId="0" borderId="0" xfId="0" applyFont="1"/>
    <xf numFmtId="0" fontId="20" fillId="4" borderId="0" xfId="0" applyFont="1" applyFill="1"/>
    <xf numFmtId="165" fontId="10" fillId="4" borderId="0" xfId="0" applyNumberFormat="1" applyFont="1" applyFill="1"/>
    <xf numFmtId="165" fontId="12" fillId="0" borderId="0" xfId="0" applyNumberFormat="1" applyFont="1"/>
    <xf numFmtId="165" fontId="7" fillId="0" borderId="0" xfId="0" applyNumberFormat="1" applyFont="1"/>
    <xf numFmtId="165" fontId="5" fillId="3" borderId="0" xfId="0" applyNumberFormat="1" applyFont="1" applyFill="1"/>
    <xf numFmtId="165" fontId="14" fillId="0" borderId="0" xfId="0" applyNumberFormat="1" applyFont="1"/>
    <xf numFmtId="165" fontId="15" fillId="0" borderId="1" xfId="0" applyNumberFormat="1" applyFont="1" applyBorder="1"/>
    <xf numFmtId="3" fontId="1" fillId="4" borderId="0" xfId="0" applyNumberFormat="1" applyFont="1" applyFill="1"/>
    <xf numFmtId="3" fontId="21" fillId="4" borderId="0" xfId="0" applyNumberFormat="1" applyFont="1" applyFill="1"/>
    <xf numFmtId="165" fontId="0" fillId="4" borderId="0" xfId="0" applyNumberFormat="1" applyFill="1"/>
    <xf numFmtId="165" fontId="21" fillId="4" borderId="0" xfId="0" applyNumberFormat="1" applyFont="1" applyFill="1"/>
    <xf numFmtId="165" fontId="0" fillId="0" borderId="0" xfId="0" applyNumberFormat="1"/>
    <xf numFmtId="165" fontId="13" fillId="0" borderId="0" xfId="0" applyNumberFormat="1" applyFont="1"/>
    <xf numFmtId="165" fontId="16" fillId="0" borderId="0" xfId="0" applyNumberFormat="1" applyFont="1"/>
    <xf numFmtId="165" fontId="18" fillId="0" borderId="0" xfId="0" applyNumberFormat="1" applyFont="1"/>
    <xf numFmtId="165" fontId="4" fillId="0" borderId="1" xfId="0" applyNumberFormat="1" applyFont="1" applyBorder="1"/>
    <xf numFmtId="0" fontId="15" fillId="0" borderId="0" xfId="0" applyFont="1" applyFill="1"/>
    <xf numFmtId="0" fontId="12" fillId="0" borderId="0" xfId="0" applyFont="1"/>
    <xf numFmtId="0" fontId="4" fillId="4" borderId="0" xfId="0" applyFont="1" applyFill="1"/>
    <xf numFmtId="0" fontId="12" fillId="0" borderId="0" xfId="0" applyFont="1" applyAlignment="1"/>
    <xf numFmtId="0" fontId="4" fillId="4" borderId="0" xfId="0" applyFont="1" applyFill="1" applyAlignment="1"/>
    <xf numFmtId="0" fontId="4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/>
    <xf numFmtId="0" fontId="12" fillId="0" borderId="0" xfId="0" applyFont="1" applyAlignment="1">
      <alignment horizontal="right"/>
    </xf>
    <xf numFmtId="165" fontId="12" fillId="0" borderId="0" xfId="0" applyNumberFormat="1" applyFont="1" applyFill="1"/>
    <xf numFmtId="165" fontId="0" fillId="0" borderId="0" xfId="0" applyNumberFormat="1" applyFill="1"/>
    <xf numFmtId="165" fontId="4" fillId="4" borderId="0" xfId="0" applyNumberFormat="1" applyFont="1" applyFill="1"/>
    <xf numFmtId="165" fontId="15" fillId="0" borderId="0" xfId="0" applyNumberFormat="1" applyFont="1" applyFill="1"/>
    <xf numFmtId="165" fontId="4" fillId="0" borderId="0" xfId="0" applyNumberFormat="1" applyFont="1"/>
    <xf numFmtId="165" fontId="22" fillId="0" borderId="0" xfId="0" applyNumberFormat="1" applyFont="1"/>
    <xf numFmtId="0" fontId="29" fillId="0" borderId="0" xfId="0" applyFont="1" applyAlignment="1"/>
    <xf numFmtId="0" fontId="30" fillId="0" borderId="0" xfId="0" applyFont="1" applyAlignment="1"/>
    <xf numFmtId="0" fontId="29" fillId="0" borderId="0" xfId="0" applyFont="1" applyBorder="1" applyAlignment="1"/>
    <xf numFmtId="0" fontId="32" fillId="0" borderId="0" xfId="0" applyFont="1" applyAlignment="1"/>
    <xf numFmtId="8" fontId="29" fillId="6" borderId="0" xfId="0" applyNumberFormat="1" applyFont="1" applyFill="1" applyAlignment="1"/>
    <xf numFmtId="0" fontId="29" fillId="0" borderId="0" xfId="0" applyFont="1" applyFill="1" applyAlignment="1"/>
    <xf numFmtId="0" fontId="33" fillId="0" borderId="0" xfId="0" applyFont="1" applyFill="1" applyAlignment="1"/>
    <xf numFmtId="0" fontId="34" fillId="0" borderId="0" xfId="4" applyFont="1" applyProtection="1"/>
    <xf numFmtId="0" fontId="34" fillId="0" borderId="0" xfId="4" applyFont="1"/>
    <xf numFmtId="0" fontId="34" fillId="0" borderId="0" xfId="4" applyFont="1" applyFill="1" applyAlignment="1" applyProtection="1"/>
    <xf numFmtId="0" fontId="35" fillId="0" borderId="0" xfId="4" applyFont="1" applyFill="1" applyAlignment="1" applyProtection="1"/>
    <xf numFmtId="0" fontId="34" fillId="0" borderId="0" xfId="4" applyFont="1" applyAlignment="1" applyProtection="1">
      <protection locked="0"/>
    </xf>
    <xf numFmtId="0" fontId="34" fillId="0" borderId="0" xfId="4" applyFont="1" applyAlignment="1" applyProtection="1"/>
    <xf numFmtId="0" fontId="34" fillId="0" borderId="7" xfId="4" applyFont="1" applyBorder="1" applyAlignment="1" applyProtection="1"/>
    <xf numFmtId="3" fontId="36" fillId="5" borderId="8" xfId="4" applyNumberFormat="1" applyFont="1" applyFill="1" applyBorder="1" applyAlignment="1" applyProtection="1"/>
    <xf numFmtId="0" fontId="34" fillId="0" borderId="8" xfId="4" applyFont="1" applyBorder="1" applyAlignment="1" applyProtection="1"/>
    <xf numFmtId="0" fontId="34" fillId="0" borderId="9" xfId="4" applyFont="1" applyBorder="1" applyAlignment="1" applyProtection="1"/>
    <xf numFmtId="0" fontId="34" fillId="4" borderId="10" xfId="4" applyFont="1" applyFill="1" applyBorder="1" applyAlignment="1" applyProtection="1"/>
    <xf numFmtId="41" fontId="34" fillId="4" borderId="0" xfId="4" applyNumberFormat="1" applyFont="1" applyFill="1" applyBorder="1" applyProtection="1"/>
    <xf numFmtId="41" fontId="34" fillId="4" borderId="11" xfId="4" applyNumberFormat="1" applyFont="1" applyFill="1" applyBorder="1" applyProtection="1"/>
    <xf numFmtId="0" fontId="34" fillId="4" borderId="16" xfId="4" applyFont="1" applyFill="1" applyBorder="1" applyAlignment="1" applyProtection="1"/>
    <xf numFmtId="41" fontId="34" fillId="4" borderId="3" xfId="4" applyNumberFormat="1" applyFont="1" applyFill="1" applyBorder="1" applyProtection="1"/>
    <xf numFmtId="41" fontId="34" fillId="4" borderId="17" xfId="4" applyNumberFormat="1" applyFont="1" applyFill="1" applyBorder="1" applyProtection="1"/>
    <xf numFmtId="0" fontId="34" fillId="4" borderId="18" xfId="4" applyFont="1" applyFill="1" applyBorder="1" applyAlignment="1" applyProtection="1"/>
    <xf numFmtId="41" fontId="37" fillId="4" borderId="19" xfId="4" applyNumberFormat="1" applyFont="1" applyFill="1" applyBorder="1" applyAlignment="1" applyProtection="1"/>
    <xf numFmtId="0" fontId="37" fillId="0" borderId="0" xfId="4" applyFont="1" applyProtection="1"/>
    <xf numFmtId="0" fontId="34" fillId="0" borderId="0" xfId="4" applyFont="1" applyFill="1" applyProtection="1"/>
    <xf numFmtId="0" fontId="37" fillId="0" borderId="0" xfId="4" applyFont="1" applyAlignment="1" applyProtection="1"/>
    <xf numFmtId="41" fontId="36" fillId="0" borderId="0" xfId="4" applyNumberFormat="1" applyFont="1"/>
    <xf numFmtId="0" fontId="37" fillId="0" borderId="0" xfId="4" applyFont="1" applyFill="1" applyAlignment="1" applyProtection="1">
      <alignment horizontal="right"/>
    </xf>
    <xf numFmtId="41" fontId="37" fillId="0" borderId="1" xfId="4" applyNumberFormat="1" applyFont="1" applyFill="1" applyBorder="1" applyProtection="1"/>
    <xf numFmtId="41" fontId="37" fillId="0" borderId="0" xfId="4" applyNumberFormat="1" applyFont="1" applyFill="1" applyBorder="1" applyProtection="1"/>
    <xf numFmtId="0" fontId="37" fillId="0" borderId="0" xfId="4" applyFont="1" applyFill="1" applyProtection="1"/>
    <xf numFmtId="0" fontId="34" fillId="0" borderId="0" xfId="4" applyFont="1" applyBorder="1" applyProtection="1"/>
    <xf numFmtId="41" fontId="34" fillId="0" borderId="0" xfId="4" applyNumberFormat="1" applyFont="1"/>
    <xf numFmtId="0" fontId="34" fillId="0" borderId="0" xfId="4" applyFont="1" applyBorder="1" applyProtection="1">
      <protection locked="0"/>
    </xf>
    <xf numFmtId="41" fontId="34" fillId="0" borderId="5" xfId="4" applyNumberFormat="1" applyFont="1" applyBorder="1" applyAlignment="1" applyProtection="1">
      <protection locked="0"/>
    </xf>
    <xf numFmtId="41" fontId="32" fillId="0" borderId="5" xfId="4" applyNumberFormat="1" applyFont="1" applyFill="1" applyBorder="1" applyAlignment="1" applyProtection="1">
      <protection locked="0"/>
    </xf>
    <xf numFmtId="0" fontId="37" fillId="0" borderId="1" xfId="4" applyFont="1" applyFill="1" applyBorder="1" applyAlignment="1" applyProtection="1">
      <alignment horizontal="right"/>
    </xf>
    <xf numFmtId="0" fontId="37" fillId="0" borderId="0" xfId="4" applyFont="1" applyFill="1" applyBorder="1" applyAlignment="1" applyProtection="1">
      <alignment horizontal="right"/>
    </xf>
    <xf numFmtId="0" fontId="39" fillId="0" borderId="0" xfId="0" applyFont="1" applyAlignment="1"/>
    <xf numFmtId="0" fontId="31" fillId="7" borderId="12" xfId="0" applyFont="1" applyFill="1" applyBorder="1" applyAlignment="1"/>
    <xf numFmtId="0" fontId="31" fillId="7" borderId="13" xfId="0" applyFont="1" applyFill="1" applyBorder="1" applyAlignment="1"/>
    <xf numFmtId="0" fontId="31" fillId="7" borderId="14" xfId="0" applyFont="1" applyFill="1" applyBorder="1" applyAlignment="1"/>
    <xf numFmtId="0" fontId="31" fillId="7" borderId="24" xfId="0" applyFont="1" applyFill="1" applyBorder="1" applyAlignment="1"/>
    <xf numFmtId="0" fontId="31" fillId="7" borderId="15" xfId="0" applyFont="1" applyFill="1" applyBorder="1" applyAlignment="1"/>
    <xf numFmtId="0" fontId="31" fillId="7" borderId="27" xfId="0" applyFont="1" applyFill="1" applyBorder="1" applyAlignment="1"/>
    <xf numFmtId="167" fontId="29" fillId="0" borderId="28" xfId="0" applyNumberFormat="1" applyFont="1" applyBorder="1" applyAlignment="1"/>
    <xf numFmtId="0" fontId="31" fillId="7" borderId="25" xfId="0" applyFont="1" applyFill="1" applyBorder="1" applyAlignment="1"/>
    <xf numFmtId="0" fontId="31" fillId="7" borderId="6" xfId="0" applyFont="1" applyFill="1" applyBorder="1" applyAlignment="1"/>
    <xf numFmtId="167" fontId="30" fillId="0" borderId="29" xfId="0" applyNumberFormat="1" applyFont="1" applyFill="1" applyBorder="1" applyAlignment="1"/>
    <xf numFmtId="167" fontId="30" fillId="0" borderId="23" xfId="0" applyNumberFormat="1" applyFont="1" applyFill="1" applyBorder="1" applyAlignment="1"/>
    <xf numFmtId="167" fontId="29" fillId="0" borderId="0" xfId="0" applyNumberFormat="1" applyFont="1" applyAlignment="1"/>
    <xf numFmtId="0" fontId="31" fillId="7" borderId="26" xfId="0" applyFont="1" applyFill="1" applyBorder="1" applyAlignment="1"/>
    <xf numFmtId="8" fontId="29" fillId="0" borderId="0" xfId="0" applyNumberFormat="1" applyFont="1" applyFill="1" applyAlignment="1"/>
    <xf numFmtId="169" fontId="34" fillId="0" borderId="0" xfId="4" applyNumberFormat="1" applyFont="1"/>
    <xf numFmtId="0" fontId="31" fillId="7" borderId="0" xfId="0" applyFont="1" applyFill="1" applyAlignment="1"/>
    <xf numFmtId="0" fontId="33" fillId="7" borderId="0" xfId="0" applyFont="1" applyFill="1" applyAlignment="1"/>
    <xf numFmtId="8" fontId="31" fillId="7" borderId="0" xfId="0" applyNumberFormat="1" applyFont="1" applyFill="1" applyAlignment="1"/>
    <xf numFmtId="0" fontId="29" fillId="5" borderId="0" xfId="0" applyFont="1" applyFill="1" applyAlignment="1"/>
    <xf numFmtId="8" fontId="29" fillId="5" borderId="0" xfId="0" applyNumberFormat="1" applyFont="1" applyFill="1" applyAlignment="1"/>
    <xf numFmtId="8" fontId="31" fillId="6" borderId="0" xfId="0" applyNumberFormat="1" applyFont="1" applyFill="1" applyAlignment="1"/>
    <xf numFmtId="169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168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7" fontId="40" fillId="7" borderId="4" xfId="4" applyNumberFormat="1" applyFont="1" applyFill="1" applyBorder="1" applyAlignment="1" applyProtection="1">
      <alignment horizontal="center" vertical="center"/>
    </xf>
    <xf numFmtId="0" fontId="34" fillId="0" borderId="0" xfId="4" applyFont="1" applyFill="1" applyAlignment="1" applyProtection="1">
      <protection locked="0"/>
    </xf>
    <xf numFmtId="41" fontId="34" fillId="0" borderId="5" xfId="4" applyNumberFormat="1" applyFont="1" applyFill="1" applyBorder="1" applyAlignment="1" applyProtection="1">
      <protection locked="0"/>
    </xf>
    <xf numFmtId="41" fontId="37" fillId="9" borderId="1" xfId="4" applyNumberFormat="1" applyFont="1" applyFill="1" applyBorder="1" applyProtection="1"/>
    <xf numFmtId="0" fontId="29" fillId="0" borderId="0" xfId="0" applyFont="1"/>
    <xf numFmtId="4" fontId="29" fillId="0" borderId="0" xfId="0" applyNumberFormat="1" applyFont="1"/>
    <xf numFmtId="0" fontId="29" fillId="9" borderId="42" xfId="0" applyFont="1" applyFill="1" applyBorder="1" applyAlignment="1">
      <alignment horizontal="center" vertical="center"/>
    </xf>
    <xf numFmtId="0" fontId="29" fillId="9" borderId="34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vertical="center"/>
    </xf>
    <xf numFmtId="1" fontId="29" fillId="11" borderId="34" xfId="0" applyNumberFormat="1" applyFont="1" applyFill="1" applyBorder="1"/>
    <xf numFmtId="0" fontId="29" fillId="11" borderId="34" xfId="0" applyFont="1" applyFill="1" applyBorder="1"/>
    <xf numFmtId="0" fontId="29" fillId="11" borderId="35" xfId="0" applyFont="1" applyFill="1" applyBorder="1"/>
    <xf numFmtId="0" fontId="29" fillId="8" borderId="39" xfId="0" applyFont="1" applyFill="1" applyBorder="1" applyAlignment="1">
      <alignment vertical="center"/>
    </xf>
    <xf numFmtId="9" fontId="29" fillId="8" borderId="42" xfId="0" applyNumberFormat="1" applyFont="1" applyFill="1" applyBorder="1" applyAlignment="1">
      <alignment vertical="center"/>
    </xf>
    <xf numFmtId="164" fontId="29" fillId="8" borderId="42" xfId="0" applyNumberFormat="1" applyFont="1" applyFill="1" applyBorder="1" applyAlignment="1">
      <alignment vertical="center"/>
    </xf>
    <xf numFmtId="164" fontId="29" fillId="11" borderId="34" xfId="0" applyNumberFormat="1" applyFont="1" applyFill="1" applyBorder="1"/>
    <xf numFmtId="164" fontId="29" fillId="11" borderId="35" xfId="0" applyNumberFormat="1" applyFont="1" applyFill="1" applyBorder="1"/>
    <xf numFmtId="0" fontId="30" fillId="8" borderId="39" xfId="0" applyFont="1" applyFill="1" applyBorder="1" applyAlignment="1">
      <alignment vertical="center"/>
    </xf>
    <xf numFmtId="164" fontId="30" fillId="11" borderId="35" xfId="0" applyNumberFormat="1" applyFont="1" applyFill="1" applyBorder="1"/>
    <xf numFmtId="0" fontId="30" fillId="8" borderId="40" xfId="0" applyFont="1" applyFill="1" applyBorder="1" applyAlignment="1">
      <alignment vertical="center"/>
    </xf>
    <xf numFmtId="164" fontId="30" fillId="8" borderId="36" xfId="0" applyNumberFormat="1" applyFont="1" applyFill="1" applyBorder="1" applyAlignment="1">
      <alignment vertical="center"/>
    </xf>
    <xf numFmtId="9" fontId="29" fillId="8" borderId="34" xfId="0" applyNumberFormat="1" applyFont="1" applyFill="1" applyBorder="1" applyAlignment="1">
      <alignment vertical="center"/>
    </xf>
    <xf numFmtId="164" fontId="29" fillId="8" borderId="34" xfId="0" applyNumberFormat="1" applyFont="1" applyFill="1" applyBorder="1" applyAlignment="1">
      <alignment vertical="center"/>
    </xf>
    <xf numFmtId="164" fontId="30" fillId="8" borderId="34" xfId="0" applyNumberFormat="1" applyFont="1" applyFill="1" applyBorder="1" applyAlignment="1">
      <alignment vertical="center"/>
    </xf>
    <xf numFmtId="10" fontId="29" fillId="8" borderId="34" xfId="1" applyNumberFormat="1" applyFont="1" applyFill="1" applyBorder="1" applyAlignment="1">
      <alignment vertical="center"/>
    </xf>
    <xf numFmtId="164" fontId="29" fillId="12" borderId="34" xfId="0" applyNumberFormat="1" applyFont="1" applyFill="1" applyBorder="1"/>
    <xf numFmtId="164" fontId="30" fillId="11" borderId="34" xfId="0" applyNumberFormat="1" applyFont="1" applyFill="1" applyBorder="1"/>
    <xf numFmtId="164" fontId="30" fillId="8" borderId="37" xfId="0" applyNumberFormat="1" applyFont="1" applyFill="1" applyBorder="1" applyAlignment="1">
      <alignment vertical="center"/>
    </xf>
    <xf numFmtId="164" fontId="30" fillId="11" borderId="37" xfId="0" applyNumberFormat="1" applyFont="1" applyFill="1" applyBorder="1"/>
    <xf numFmtId="164" fontId="30" fillId="11" borderId="38" xfId="0" applyNumberFormat="1" applyFont="1" applyFill="1" applyBorder="1"/>
    <xf numFmtId="164" fontId="30" fillId="12" borderId="37" xfId="0" applyNumberFormat="1" applyFont="1" applyFill="1" applyBorder="1"/>
    <xf numFmtId="164" fontId="30" fillId="12" borderId="38" xfId="0" applyNumberFormat="1" applyFont="1" applyFill="1" applyBorder="1"/>
    <xf numFmtId="164" fontId="29" fillId="12" borderId="35" xfId="0" applyNumberFormat="1" applyFont="1" applyFill="1" applyBorder="1"/>
    <xf numFmtId="0" fontId="30" fillId="8" borderId="43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left" vertical="center"/>
    </xf>
    <xf numFmtId="9" fontId="29" fillId="8" borderId="43" xfId="0" applyNumberFormat="1" applyFont="1" applyFill="1" applyBorder="1" applyAlignment="1">
      <alignment vertical="center"/>
    </xf>
    <xf numFmtId="9" fontId="29" fillId="8" borderId="42" xfId="0" applyNumberFormat="1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right" vertical="center"/>
    </xf>
    <xf numFmtId="164" fontId="30" fillId="10" borderId="37" xfId="0" applyNumberFormat="1" applyFont="1" applyFill="1" applyBorder="1"/>
    <xf numFmtId="164" fontId="30" fillId="10" borderId="38" xfId="0" applyNumberFormat="1" applyFont="1" applyFill="1" applyBorder="1"/>
    <xf numFmtId="164" fontId="29" fillId="10" borderId="34" xfId="0" applyNumberFormat="1" applyFont="1" applyFill="1" applyBorder="1"/>
    <xf numFmtId="0" fontId="34" fillId="5" borderId="8" xfId="4" applyFont="1" applyFill="1" applyBorder="1" applyAlignment="1" applyProtection="1"/>
    <xf numFmtId="0" fontId="29" fillId="0" borderId="44" xfId="0" applyFont="1" applyBorder="1" applyAlignment="1"/>
    <xf numFmtId="0" fontId="29" fillId="0" borderId="39" xfId="0" applyFont="1" applyFill="1" applyBorder="1" applyAlignment="1"/>
    <xf numFmtId="167" fontId="29" fillId="0" borderId="34" xfId="0" applyNumberFormat="1" applyFont="1" applyFill="1" applyBorder="1" applyAlignment="1"/>
    <xf numFmtId="0" fontId="29" fillId="0" borderId="34" xfId="0" applyFont="1" applyBorder="1" applyAlignment="1"/>
    <xf numFmtId="167" fontId="29" fillId="0" borderId="34" xfId="0" applyNumberFormat="1" applyFont="1" applyBorder="1" applyAlignment="1"/>
    <xf numFmtId="0" fontId="29" fillId="0" borderId="40" xfId="0" applyFont="1" applyFill="1" applyBorder="1" applyAlignment="1"/>
    <xf numFmtId="0" fontId="29" fillId="0" borderId="37" xfId="0" applyFont="1" applyBorder="1" applyAlignment="1"/>
    <xf numFmtId="167" fontId="29" fillId="0" borderId="37" xfId="0" applyNumberFormat="1" applyFont="1" applyBorder="1" applyAlignment="1">
      <alignment horizontal="right"/>
    </xf>
    <xf numFmtId="9" fontId="29" fillId="0" borderId="37" xfId="1" applyFont="1" applyFill="1" applyBorder="1" applyAlignment="1"/>
    <xf numFmtId="1" fontId="29" fillId="11" borderId="45" xfId="0" applyNumberFormat="1" applyFont="1" applyFill="1" applyBorder="1"/>
    <xf numFmtId="0" fontId="29" fillId="8" borderId="47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right" vertical="center"/>
    </xf>
    <xf numFmtId="1" fontId="29" fillId="0" borderId="37" xfId="0" applyNumberFormat="1" applyFont="1" applyFill="1" applyBorder="1" applyAlignment="1">
      <alignment horizontal="right" vertical="center"/>
    </xf>
    <xf numFmtId="1" fontId="29" fillId="0" borderId="49" xfId="0" applyNumberFormat="1" applyFont="1" applyFill="1" applyBorder="1" applyAlignment="1">
      <alignment horizontal="right" vertical="center"/>
    </xf>
    <xf numFmtId="0" fontId="29" fillId="0" borderId="36" xfId="0" applyFont="1" applyFill="1" applyBorder="1" applyAlignment="1">
      <alignment horizontal="right" vertical="center"/>
    </xf>
    <xf numFmtId="0" fontId="29" fillId="9" borderId="45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1" fontId="29" fillId="0" borderId="51" xfId="0" applyNumberFormat="1" applyFont="1" applyFill="1" applyBorder="1" applyAlignment="1">
      <alignment horizontal="right" vertical="center"/>
    </xf>
    <xf numFmtId="1" fontId="29" fillId="0" borderId="52" xfId="0" applyNumberFormat="1" applyFont="1" applyFill="1" applyBorder="1" applyAlignment="1">
      <alignment horizontal="right" vertical="center"/>
    </xf>
    <xf numFmtId="0" fontId="29" fillId="0" borderId="53" xfId="0" applyFont="1" applyFill="1" applyBorder="1" applyAlignment="1"/>
    <xf numFmtId="167" fontId="29" fillId="0" borderId="54" xfId="0" applyNumberFormat="1" applyFont="1" applyFill="1" applyBorder="1" applyAlignment="1"/>
    <xf numFmtId="0" fontId="29" fillId="0" borderId="54" xfId="0" applyFont="1" applyBorder="1" applyAlignment="1"/>
    <xf numFmtId="167" fontId="29" fillId="0" borderId="54" xfId="0" applyNumberFormat="1" applyFont="1" applyBorder="1" applyAlignment="1"/>
    <xf numFmtId="167" fontId="30" fillId="0" borderId="55" xfId="0" applyNumberFormat="1" applyFont="1" applyFill="1" applyBorder="1" applyAlignment="1"/>
    <xf numFmtId="0" fontId="29" fillId="0" borderId="50" xfId="0" applyFont="1" applyFill="1" applyBorder="1" applyAlignment="1"/>
    <xf numFmtId="167" fontId="29" fillId="0" borderId="45" xfId="0" applyNumberFormat="1" applyFont="1" applyFill="1" applyBorder="1" applyAlignment="1"/>
    <xf numFmtId="0" fontId="29" fillId="0" borderId="45" xfId="0" applyFont="1" applyBorder="1" applyAlignment="1"/>
    <xf numFmtId="167" fontId="29" fillId="0" borderId="45" xfId="0" applyNumberFormat="1" applyFont="1" applyBorder="1" applyAlignment="1"/>
    <xf numFmtId="167" fontId="29" fillId="0" borderId="46" xfId="0" applyNumberFormat="1" applyFont="1" applyBorder="1" applyAlignment="1"/>
    <xf numFmtId="167" fontId="30" fillId="0" borderId="56" xfId="0" applyNumberFormat="1" applyFont="1" applyFill="1" applyBorder="1" applyAlignment="1"/>
    <xf numFmtId="0" fontId="29" fillId="0" borderId="50" xfId="0" applyFont="1" applyBorder="1" applyAlignment="1"/>
    <xf numFmtId="0" fontId="29" fillId="0" borderId="53" xfId="0" applyFont="1" applyBorder="1" applyAlignment="1"/>
    <xf numFmtId="0" fontId="29" fillId="0" borderId="57" xfId="0" applyFont="1" applyBorder="1" applyAlignment="1"/>
    <xf numFmtId="167" fontId="30" fillId="0" borderId="58" xfId="0" applyNumberFormat="1" applyFont="1" applyFill="1" applyBorder="1" applyAlignment="1"/>
    <xf numFmtId="0" fontId="29" fillId="0" borderId="59" xfId="0" applyFont="1" applyFill="1" applyBorder="1" applyAlignment="1"/>
    <xf numFmtId="167" fontId="29" fillId="0" borderId="60" xfId="0" applyNumberFormat="1" applyFont="1" applyFill="1" applyBorder="1" applyAlignment="1"/>
    <xf numFmtId="0" fontId="29" fillId="0" borderId="60" xfId="0" applyFont="1" applyBorder="1" applyAlignment="1"/>
    <xf numFmtId="167" fontId="29" fillId="0" borderId="60" xfId="0" applyNumberFormat="1" applyFont="1" applyBorder="1" applyAlignment="1"/>
    <xf numFmtId="167" fontId="29" fillId="0" borderId="61" xfId="0" applyNumberFormat="1" applyFont="1" applyBorder="1" applyAlignment="1"/>
    <xf numFmtId="164" fontId="29" fillId="11" borderId="45" xfId="0" applyNumberFormat="1" applyFont="1" applyFill="1" applyBorder="1"/>
    <xf numFmtId="164" fontId="29" fillId="11" borderId="46" xfId="0" applyNumberFormat="1" applyFont="1" applyFill="1" applyBorder="1"/>
    <xf numFmtId="0" fontId="29" fillId="8" borderId="30" xfId="0" applyFont="1" applyFill="1" applyBorder="1" applyAlignment="1">
      <alignment vertical="center"/>
    </xf>
    <xf numFmtId="164" fontId="29" fillId="8" borderId="62" xfId="0" applyNumberFormat="1" applyFont="1" applyFill="1" applyBorder="1" applyAlignment="1">
      <alignment vertical="center"/>
    </xf>
    <xf numFmtId="164" fontId="29" fillId="11" borderId="20" xfId="0" applyNumberFormat="1" applyFont="1" applyFill="1" applyBorder="1"/>
    <xf numFmtId="1" fontId="29" fillId="8" borderId="42" xfId="0" applyNumberFormat="1" applyFont="1" applyFill="1" applyBorder="1" applyAlignment="1">
      <alignment vertical="center"/>
    </xf>
    <xf numFmtId="164" fontId="29" fillId="8" borderId="45" xfId="0" applyNumberFormat="1" applyFont="1" applyFill="1" applyBorder="1" applyAlignment="1">
      <alignment vertical="center"/>
    </xf>
    <xf numFmtId="1" fontId="29" fillId="11" borderId="35" xfId="0" applyNumberFormat="1" applyFont="1" applyFill="1" applyBorder="1"/>
    <xf numFmtId="164" fontId="29" fillId="11" borderId="45" xfId="0" applyNumberFormat="1" applyFont="1" applyFill="1" applyBorder="1" applyAlignment="1">
      <alignment horizontal="center"/>
    </xf>
    <xf numFmtId="1" fontId="29" fillId="0" borderId="45" xfId="0" applyNumberFormat="1" applyFont="1" applyFill="1" applyBorder="1"/>
    <xf numFmtId="0" fontId="29" fillId="13" borderId="42" xfId="0" applyFont="1" applyFill="1" applyBorder="1" applyAlignment="1">
      <alignment horizontal="center" vertical="center"/>
    </xf>
    <xf numFmtId="0" fontId="29" fillId="13" borderId="45" xfId="0" applyFont="1" applyFill="1" applyBorder="1" applyAlignment="1">
      <alignment horizontal="center" vertical="center"/>
    </xf>
    <xf numFmtId="164" fontId="30" fillId="11" borderId="45" xfId="0" applyNumberFormat="1" applyFont="1" applyFill="1" applyBorder="1"/>
    <xf numFmtId="164" fontId="30" fillId="11" borderId="46" xfId="0" applyNumberFormat="1" applyFont="1" applyFill="1" applyBorder="1"/>
    <xf numFmtId="164" fontId="29" fillId="11" borderId="45" xfId="0" applyNumberFormat="1" applyFont="1" applyFill="1" applyBorder="1" applyAlignment="1">
      <alignment horizontal="left"/>
    </xf>
    <xf numFmtId="164" fontId="30" fillId="11" borderId="60" xfId="0" applyNumberFormat="1" applyFont="1" applyFill="1" applyBorder="1"/>
    <xf numFmtId="164" fontId="1" fillId="11" borderId="22" xfId="0" applyNumberFormat="1" applyFont="1" applyFill="1" applyBorder="1"/>
    <xf numFmtId="164" fontId="1" fillId="11" borderId="45" xfId="0" applyNumberFormat="1" applyFont="1" applyFill="1" applyBorder="1"/>
    <xf numFmtId="41" fontId="34" fillId="0" borderId="66" xfId="4" applyNumberFormat="1" applyFont="1" applyFill="1" applyBorder="1" applyAlignment="1" applyProtection="1">
      <protection locked="0"/>
    </xf>
    <xf numFmtId="41" fontId="32" fillId="0" borderId="66" xfId="4" applyNumberFormat="1" applyFont="1" applyFill="1" applyBorder="1" applyAlignment="1" applyProtection="1">
      <protection locked="0"/>
    </xf>
    <xf numFmtId="41" fontId="34" fillId="0" borderId="66" xfId="4" applyNumberFormat="1" applyFont="1" applyBorder="1" applyAlignment="1" applyProtection="1">
      <protection locked="0"/>
    </xf>
    <xf numFmtId="164" fontId="29" fillId="11" borderId="22" xfId="0" applyNumberFormat="1" applyFont="1" applyFill="1" applyBorder="1" applyAlignment="1">
      <alignment horizontal="left"/>
    </xf>
    <xf numFmtId="164" fontId="29" fillId="11" borderId="41" xfId="0" applyNumberFormat="1" applyFont="1" applyFill="1" applyBorder="1"/>
    <xf numFmtId="164" fontId="30" fillId="11" borderId="61" xfId="0" applyNumberFormat="1" applyFont="1" applyFill="1" applyBorder="1"/>
    <xf numFmtId="0" fontId="29" fillId="0" borderId="67" xfId="0" applyFont="1" applyBorder="1" applyAlignment="1"/>
    <xf numFmtId="167" fontId="29" fillId="0" borderId="68" xfId="0" applyNumberFormat="1" applyFont="1" applyBorder="1" applyAlignment="1"/>
    <xf numFmtId="167" fontId="30" fillId="0" borderId="69" xfId="0" applyNumberFormat="1" applyFont="1" applyFill="1" applyBorder="1" applyAlignment="1"/>
    <xf numFmtId="0" fontId="29" fillId="0" borderId="68" xfId="0" applyFont="1" applyBorder="1" applyAlignment="1"/>
    <xf numFmtId="167" fontId="29" fillId="0" borderId="68" xfId="0" applyNumberFormat="1" applyFont="1" applyBorder="1" applyAlignment="1">
      <alignment horizontal="right"/>
    </xf>
    <xf numFmtId="0" fontId="29" fillId="0" borderId="70" xfId="0" applyFont="1" applyBorder="1" applyAlignment="1"/>
    <xf numFmtId="167" fontId="29" fillId="0" borderId="71" xfId="0" applyNumberFormat="1" applyFont="1" applyBorder="1" applyAlignment="1">
      <alignment horizontal="right"/>
    </xf>
    <xf numFmtId="0" fontId="29" fillId="0" borderId="71" xfId="0" applyFont="1" applyBorder="1" applyAlignment="1"/>
    <xf numFmtId="167" fontId="29" fillId="0" borderId="71" xfId="0" applyNumberFormat="1" applyFont="1" applyBorder="1" applyAlignment="1"/>
    <xf numFmtId="167" fontId="29" fillId="0" borderId="72" xfId="0" applyNumberFormat="1" applyFont="1" applyBorder="1" applyAlignment="1"/>
    <xf numFmtId="167" fontId="30" fillId="0" borderId="73" xfId="0" applyNumberFormat="1" applyFont="1" applyFill="1" applyBorder="1" applyAlignment="1"/>
    <xf numFmtId="1" fontId="29" fillId="0" borderId="42" xfId="0" applyNumberFormat="1" applyFont="1" applyFill="1" applyBorder="1" applyAlignment="1">
      <alignment horizontal="right" vertical="center"/>
    </xf>
    <xf numFmtId="0" fontId="38" fillId="0" borderId="45" xfId="0" applyFont="1" applyBorder="1"/>
    <xf numFmtId="4" fontId="29" fillId="0" borderId="45" xfId="0" applyNumberFormat="1" applyFont="1" applyBorder="1"/>
    <xf numFmtId="0" fontId="29" fillId="0" borderId="45" xfId="0" applyFont="1" applyBorder="1"/>
    <xf numFmtId="170" fontId="29" fillId="0" borderId="45" xfId="1" applyNumberFormat="1" applyFont="1" applyBorder="1" applyAlignment="1"/>
    <xf numFmtId="15" fontId="29" fillId="0" borderId="45" xfId="0" applyNumberFormat="1" applyFont="1" applyBorder="1"/>
    <xf numFmtId="0" fontId="24" fillId="0" borderId="34" xfId="43" applyBorder="1" applyAlignment="1"/>
    <xf numFmtId="41" fontId="34" fillId="0" borderId="76" xfId="4" applyNumberFormat="1" applyFont="1" applyFill="1" applyBorder="1" applyAlignment="1" applyProtection="1">
      <protection locked="0"/>
    </xf>
    <xf numFmtId="0" fontId="29" fillId="0" borderId="0" xfId="0" quotePrefix="1" applyFont="1"/>
    <xf numFmtId="0" fontId="30" fillId="14" borderId="6" xfId="0" applyFont="1" applyFill="1" applyBorder="1" applyAlignment="1"/>
    <xf numFmtId="0" fontId="29" fillId="0" borderId="77" xfId="0" applyFont="1" applyBorder="1" applyAlignment="1"/>
    <xf numFmtId="0" fontId="29" fillId="0" borderId="0" xfId="0" quotePrefix="1" applyFont="1" applyAlignment="1"/>
    <xf numFmtId="0" fontId="30" fillId="8" borderId="79" xfId="0" applyFont="1" applyFill="1" applyBorder="1" applyAlignment="1">
      <alignment horizontal="center" vertical="center"/>
    </xf>
    <xf numFmtId="0" fontId="29" fillId="9" borderId="77" xfId="0" applyFont="1" applyFill="1" applyBorder="1" applyAlignment="1">
      <alignment horizontal="center" vertical="center"/>
    </xf>
    <xf numFmtId="0" fontId="29" fillId="0" borderId="82" xfId="0" applyFont="1" applyBorder="1" applyAlignment="1"/>
    <xf numFmtId="0" fontId="29" fillId="8" borderId="78" xfId="0" applyFont="1" applyFill="1" applyBorder="1" applyAlignment="1">
      <alignment horizontal="left" vertical="center" wrapText="1"/>
    </xf>
    <xf numFmtId="1" fontId="30" fillId="8" borderId="79" xfId="1" applyNumberFormat="1" applyFont="1" applyFill="1" applyBorder="1" applyAlignment="1">
      <alignment horizontal="center" vertical="center"/>
    </xf>
    <xf numFmtId="0" fontId="29" fillId="8" borderId="78" xfId="0" applyFont="1" applyFill="1" applyBorder="1" applyAlignment="1">
      <alignment horizontal="left" vertical="center"/>
    </xf>
    <xf numFmtId="9" fontId="30" fillId="8" borderId="79" xfId="1" applyFont="1" applyFill="1" applyBorder="1" applyAlignment="1">
      <alignment horizontal="center" vertical="center"/>
    </xf>
    <xf numFmtId="9" fontId="30" fillId="8" borderId="48" xfId="1" applyFont="1" applyFill="1" applyBorder="1" applyAlignment="1">
      <alignment horizontal="center" vertical="center"/>
    </xf>
    <xf numFmtId="0" fontId="29" fillId="0" borderId="83" xfId="0" applyFont="1" applyBorder="1" applyAlignment="1"/>
    <xf numFmtId="0" fontId="29" fillId="0" borderId="84" xfId="0" applyFont="1" applyBorder="1" applyAlignment="1"/>
    <xf numFmtId="0" fontId="30" fillId="8" borderId="78" xfId="0" applyFont="1" applyFill="1" applyBorder="1" applyAlignment="1">
      <alignment horizontal="left" vertical="center"/>
    </xf>
    <xf numFmtId="0" fontId="30" fillId="8" borderId="78" xfId="0" applyFont="1" applyFill="1" applyBorder="1" applyAlignment="1">
      <alignment horizontal="left" vertical="center" wrapText="1"/>
    </xf>
    <xf numFmtId="0" fontId="30" fillId="8" borderId="47" xfId="0" applyFont="1" applyFill="1" applyBorder="1" applyAlignment="1">
      <alignment horizontal="left" vertical="center"/>
    </xf>
    <xf numFmtId="171" fontId="30" fillId="8" borderId="48" xfId="1" applyNumberFormat="1" applyFont="1" applyFill="1" applyBorder="1" applyAlignment="1">
      <alignment horizontal="center" vertical="center"/>
    </xf>
    <xf numFmtId="1" fontId="29" fillId="11" borderId="46" xfId="0" applyNumberFormat="1" applyFont="1" applyFill="1" applyBorder="1"/>
    <xf numFmtId="9" fontId="29" fillId="8" borderId="43" xfId="0" quotePrefix="1" applyNumberFormat="1" applyFont="1" applyFill="1" applyBorder="1" applyAlignment="1">
      <alignment horizontal="left" vertical="center"/>
    </xf>
    <xf numFmtId="9" fontId="29" fillId="8" borderId="48" xfId="1" applyFont="1" applyFill="1" applyBorder="1" applyAlignment="1">
      <alignment horizontal="left" vertical="center"/>
    </xf>
    <xf numFmtId="0" fontId="34" fillId="0" borderId="85" xfId="4" applyFont="1" applyFill="1" applyBorder="1" applyAlignment="1" applyProtection="1">
      <protection locked="0"/>
    </xf>
    <xf numFmtId="0" fontId="41" fillId="0" borderId="0" xfId="4" applyFont="1" applyAlignment="1" applyProtection="1">
      <alignment horizontal="left" vertical="center"/>
      <protection locked="0"/>
    </xf>
    <xf numFmtId="0" fontId="41" fillId="0" borderId="0" xfId="4" applyFont="1" applyAlignment="1" applyProtection="1">
      <alignment vertical="center"/>
    </xf>
    <xf numFmtId="0" fontId="42" fillId="0" borderId="0" xfId="4" applyFont="1" applyProtection="1"/>
    <xf numFmtId="0" fontId="41" fillId="0" borderId="0" xfId="4" applyFont="1" applyFill="1" applyAlignment="1" applyProtection="1"/>
    <xf numFmtId="164" fontId="34" fillId="0" borderId="0" xfId="4" applyNumberFormat="1" applyFont="1"/>
    <xf numFmtId="0" fontId="29" fillId="10" borderId="28" xfId="0" applyFont="1" applyFill="1" applyBorder="1" applyAlignment="1">
      <alignment horizontal="center" vertical="center"/>
    </xf>
    <xf numFmtId="0" fontId="29" fillId="10" borderId="42" xfId="0" applyFont="1" applyFill="1" applyBorder="1" applyAlignment="1">
      <alignment horizontal="center" vertical="center"/>
    </xf>
    <xf numFmtId="0" fontId="29" fillId="10" borderId="65" xfId="0" applyFont="1" applyFill="1" applyBorder="1" applyAlignment="1">
      <alignment horizontal="center" vertical="center"/>
    </xf>
    <xf numFmtId="0" fontId="29" fillId="13" borderId="59" xfId="0" applyFont="1" applyFill="1" applyBorder="1" applyAlignment="1">
      <alignment horizontal="center" vertical="center"/>
    </xf>
    <xf numFmtId="0" fontId="29" fillId="13" borderId="60" xfId="0" applyFont="1" applyFill="1" applyBorder="1" applyAlignment="1">
      <alignment horizontal="center" vertical="center"/>
    </xf>
    <xf numFmtId="0" fontId="29" fillId="10" borderId="31" xfId="0" applyFont="1" applyFill="1" applyBorder="1" applyAlignment="1">
      <alignment horizontal="center" vertical="center"/>
    </xf>
    <xf numFmtId="0" fontId="29" fillId="10" borderId="43" xfId="0" applyFont="1" applyFill="1" applyBorder="1" applyAlignment="1">
      <alignment horizontal="center" vertical="center"/>
    </xf>
    <xf numFmtId="0" fontId="29" fillId="13" borderId="50" xfId="0" applyFont="1" applyFill="1" applyBorder="1" applyAlignment="1">
      <alignment horizontal="center" vertical="center"/>
    </xf>
    <xf numFmtId="0" fontId="29" fillId="13" borderId="45" xfId="0" applyFont="1" applyFill="1" applyBorder="1" applyAlignment="1">
      <alignment horizontal="center" vertical="center"/>
    </xf>
    <xf numFmtId="0" fontId="29" fillId="13" borderId="21" xfId="0" applyFont="1" applyFill="1" applyBorder="1" applyAlignment="1">
      <alignment horizontal="center" vertical="center"/>
    </xf>
    <xf numFmtId="0" fontId="29" fillId="13" borderId="22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14" xfId="0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/>
    </xf>
    <xf numFmtId="0" fontId="30" fillId="13" borderId="9" xfId="0" applyFont="1" applyFill="1" applyBorder="1" applyAlignment="1">
      <alignment horizontal="center" vertical="center"/>
    </xf>
    <xf numFmtId="0" fontId="30" fillId="13" borderId="63" xfId="0" applyFont="1" applyFill="1" applyBorder="1" applyAlignment="1">
      <alignment horizontal="center" vertical="center"/>
    </xf>
    <xf numFmtId="0" fontId="30" fillId="13" borderId="64" xfId="0" applyFont="1" applyFill="1" applyBorder="1" applyAlignment="1">
      <alignment horizontal="center" vertical="center"/>
    </xf>
    <xf numFmtId="0" fontId="38" fillId="13" borderId="32" xfId="0" applyFont="1" applyFill="1" applyBorder="1" applyAlignment="1">
      <alignment horizontal="center" vertical="center"/>
    </xf>
    <xf numFmtId="0" fontId="38" fillId="13" borderId="13" xfId="0" applyFont="1" applyFill="1" applyBorder="1" applyAlignment="1">
      <alignment horizontal="center" vertical="center"/>
    </xf>
    <xf numFmtId="0" fontId="30" fillId="13" borderId="33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30" fillId="8" borderId="35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/>
    </xf>
    <xf numFmtId="0" fontId="30" fillId="8" borderId="34" xfId="0" applyFont="1" applyFill="1" applyBorder="1" applyAlignment="1">
      <alignment horizontal="center" vertical="center"/>
    </xf>
    <xf numFmtId="0" fontId="30" fillId="8" borderId="50" xfId="0" applyFont="1" applyFill="1" applyBorder="1" applyAlignment="1">
      <alignment horizontal="center" vertical="center"/>
    </xf>
    <xf numFmtId="0" fontId="30" fillId="8" borderId="45" xfId="0" applyFont="1" applyFill="1" applyBorder="1" applyAlignment="1">
      <alignment horizontal="center" vertical="center"/>
    </xf>
    <xf numFmtId="0" fontId="38" fillId="8" borderId="32" xfId="0" applyFont="1" applyFill="1" applyBorder="1" applyAlignment="1">
      <alignment horizontal="center" vertical="center"/>
    </xf>
    <xf numFmtId="0" fontId="30" fillId="8" borderId="33" xfId="0" applyFont="1" applyFill="1" applyBorder="1" applyAlignment="1">
      <alignment horizontal="center" vertical="center"/>
    </xf>
    <xf numFmtId="0" fontId="30" fillId="8" borderId="41" xfId="0" applyFont="1" applyFill="1" applyBorder="1" applyAlignment="1">
      <alignment horizontal="center" vertical="center"/>
    </xf>
    <xf numFmtId="0" fontId="30" fillId="8" borderId="81" xfId="0" applyFont="1" applyFill="1" applyBorder="1" applyAlignment="1">
      <alignment horizontal="center" vertical="center"/>
    </xf>
    <xf numFmtId="0" fontId="30" fillId="8" borderId="80" xfId="0" applyFont="1" applyFill="1" applyBorder="1" applyAlignment="1">
      <alignment horizontal="center" vertical="center"/>
    </xf>
    <xf numFmtId="0" fontId="30" fillId="8" borderId="77" xfId="0" applyFont="1" applyFill="1" applyBorder="1" applyAlignment="1">
      <alignment horizontal="center" vertical="center"/>
    </xf>
    <xf numFmtId="0" fontId="30" fillId="14" borderId="74" xfId="0" applyFont="1" applyFill="1" applyBorder="1" applyAlignment="1">
      <alignment horizontal="center"/>
    </xf>
    <xf numFmtId="0" fontId="30" fillId="14" borderId="75" xfId="0" applyFont="1" applyFill="1" applyBorder="1" applyAlignment="1">
      <alignment horizontal="center"/>
    </xf>
    <xf numFmtId="0" fontId="30" fillId="14" borderId="15" xfId="0" applyFont="1" applyFill="1" applyBorder="1" applyAlignment="1">
      <alignment horizontal="center"/>
    </xf>
    <xf numFmtId="0" fontId="40" fillId="7" borderId="4" xfId="4" applyFont="1" applyFill="1" applyBorder="1" applyAlignment="1" applyProtection="1">
      <alignment horizontal="left" vertical="center" indent="1"/>
    </xf>
    <xf numFmtId="0" fontId="37" fillId="9" borderId="1" xfId="4" applyFont="1" applyFill="1" applyBorder="1" applyAlignment="1" applyProtection="1">
      <alignment horizontal="left"/>
    </xf>
  </cellXfs>
  <cellStyles count="44">
    <cellStyle name="Excel Built-in Normal" xfId="5"/>
    <cellStyle name="Gevolgde hyperlink" xfId="3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/>
    <cellStyle name="Normaal" xfId="0" builtinId="0"/>
    <cellStyle name="Procent" xfId="1" builtinId="5"/>
    <cellStyle name="Procent 2" xfId="6"/>
    <cellStyle name="Stand. 2" xfId="4"/>
    <cellStyle name="Standaard 2" xfId="7"/>
    <cellStyle name="Standaard 5" xfId="8"/>
  </cellStyles>
  <dxfs count="12">
    <dxf>
      <font>
        <b val="0"/>
        <i val="0"/>
        <strike val="0"/>
        <u val="none"/>
        <color rgb="FF000000"/>
      </font>
      <fill>
        <patternFill>
          <bgColor theme="5" tint="-0.24994659260841701"/>
        </patternFill>
      </fill>
    </dxf>
    <dxf>
      <font>
        <b val="0"/>
        <i val="0"/>
        <strike val="0"/>
        <u val="none"/>
        <color rgb="FF000000"/>
      </font>
      <fill>
        <patternFill>
          <bgColor theme="0" tint="-0.24994659260841701"/>
        </patternFill>
      </fill>
    </dxf>
    <dxf>
      <font>
        <b val="0"/>
        <i val="0"/>
        <strike val="0"/>
        <color rgb="FF000000"/>
      </font>
      <fill>
        <patternFill>
          <bgColor theme="0" tint="-0.14996795556505021"/>
        </patternFill>
      </fill>
    </dxf>
    <dxf>
      <font>
        <b val="0"/>
        <i val="0"/>
        <strike val="0"/>
        <u val="none"/>
        <color rgb="FF000000"/>
      </font>
      <fill>
        <patternFill>
          <bgColor theme="5" tint="-0.24994659260841701"/>
        </patternFill>
      </fill>
    </dxf>
    <dxf>
      <font>
        <b val="0"/>
        <i val="0"/>
        <strike val="0"/>
        <u val="none"/>
        <color rgb="FF000000"/>
      </font>
      <fill>
        <patternFill>
          <bgColor theme="0" tint="-0.24994659260841701"/>
        </patternFill>
      </fill>
    </dxf>
    <dxf>
      <font>
        <b val="0"/>
        <i val="0"/>
        <strike val="0"/>
        <color rgb="FF000000"/>
      </font>
      <fill>
        <patternFill>
          <bgColor theme="0" tint="-0.14996795556505021"/>
        </patternFill>
      </fill>
    </dxf>
    <dxf>
      <font>
        <b val="0"/>
        <i val="0"/>
        <strike val="0"/>
        <u val="none"/>
        <color rgb="FF000000"/>
      </font>
      <fill>
        <patternFill>
          <bgColor theme="5" tint="-0.24994659260841701"/>
        </patternFill>
      </fill>
    </dxf>
    <dxf>
      <font>
        <b val="0"/>
        <i val="0"/>
        <strike val="0"/>
        <u val="none"/>
        <color rgb="FF000000"/>
      </font>
      <fill>
        <patternFill>
          <bgColor theme="5" tint="-0.24994659260841701"/>
        </patternFill>
      </fill>
    </dxf>
    <dxf>
      <font>
        <b val="0"/>
        <i val="0"/>
        <strike val="0"/>
        <u val="none"/>
        <color rgb="FF000000"/>
      </font>
      <fill>
        <patternFill>
          <bgColor theme="5" tint="-0.24994659260841701"/>
        </patternFill>
      </fill>
    </dxf>
    <dxf>
      <font>
        <b val="0"/>
        <i val="0"/>
        <strike val="0"/>
        <u val="none"/>
        <color rgb="FF000000"/>
      </font>
      <fill>
        <patternFill>
          <bgColor theme="0" tint="-0.24994659260841701"/>
        </patternFill>
      </fill>
    </dxf>
    <dxf>
      <font>
        <b val="0"/>
        <i val="0"/>
        <strike val="0"/>
        <color rgb="FF000000"/>
      </font>
      <fill>
        <patternFill>
          <bgColor theme="0" tint="-0.14996795556505021"/>
        </patternFill>
      </fill>
    </dxf>
    <dxf>
      <font>
        <b val="0"/>
        <i val="0"/>
        <strike val="0"/>
        <u val="none"/>
        <color rgb="FF000000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990000"/>
      <color rgb="FF000000"/>
      <color rgb="FFFFFF99"/>
      <color rgb="FF3333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siness%20Plan%20Actueel/P&amp;%20L/Financiele-plan-template-Sen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ing &amp; sales estima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B1:AE93"/>
  <sheetViews>
    <sheetView showGridLines="0" tabSelected="1" topLeftCell="A29" workbookViewId="0">
      <selection activeCell="P54" sqref="P54"/>
    </sheetView>
  </sheetViews>
  <sheetFormatPr baseColWidth="10" defaultRowHeight="14" outlineLevelRow="1" x14ac:dyDescent="0"/>
  <cols>
    <col min="1" max="1" width="3.5" style="73" customWidth="1"/>
    <col min="2" max="2" width="45" style="73" customWidth="1"/>
    <col min="3" max="16" width="10.83203125" style="73"/>
    <col min="17" max="17" width="5.33203125" style="73" customWidth="1"/>
    <col min="18" max="18" width="27.33203125" style="73" bestFit="1" customWidth="1"/>
    <col min="19" max="19" width="17" style="73" bestFit="1" customWidth="1"/>
    <col min="20" max="31" width="9" style="73" customWidth="1"/>
    <col min="32" max="16384" width="10.83203125" style="73"/>
  </cols>
  <sheetData>
    <row r="1" spans="2:31" ht="15" thickBot="1"/>
    <row r="2" spans="2:31">
      <c r="B2" s="316">
        <v>2018</v>
      </c>
      <c r="C2" s="317"/>
      <c r="D2" s="322" t="s">
        <v>174</v>
      </c>
      <c r="E2" s="304"/>
      <c r="F2" s="304"/>
      <c r="G2" s="304" t="s">
        <v>175</v>
      </c>
      <c r="H2" s="304"/>
      <c r="I2" s="304"/>
      <c r="J2" s="304" t="s">
        <v>176</v>
      </c>
      <c r="K2" s="304"/>
      <c r="L2" s="304"/>
      <c r="M2" s="304" t="s">
        <v>177</v>
      </c>
      <c r="N2" s="304"/>
      <c r="O2" s="304"/>
      <c r="P2" s="323" t="s">
        <v>178</v>
      </c>
      <c r="R2" s="316">
        <v>2018</v>
      </c>
      <c r="S2" s="317"/>
      <c r="T2" s="322" t="s">
        <v>174</v>
      </c>
      <c r="U2" s="304"/>
      <c r="V2" s="304"/>
      <c r="W2" s="304" t="s">
        <v>175</v>
      </c>
      <c r="X2" s="304"/>
      <c r="Y2" s="304"/>
      <c r="Z2" s="304" t="s">
        <v>176</v>
      </c>
      <c r="AA2" s="304"/>
      <c r="AB2" s="304"/>
      <c r="AC2" s="304" t="s">
        <v>177</v>
      </c>
      <c r="AD2" s="304"/>
      <c r="AE2" s="304"/>
    </row>
    <row r="3" spans="2:31">
      <c r="B3" s="318"/>
      <c r="C3" s="319"/>
      <c r="D3" s="145" t="s">
        <v>179</v>
      </c>
      <c r="E3" s="146" t="s">
        <v>180</v>
      </c>
      <c r="F3" s="146" t="s">
        <v>181</v>
      </c>
      <c r="G3" s="146" t="s">
        <v>182</v>
      </c>
      <c r="H3" s="146" t="s">
        <v>183</v>
      </c>
      <c r="I3" s="146" t="s">
        <v>184</v>
      </c>
      <c r="J3" s="146" t="s">
        <v>185</v>
      </c>
      <c r="K3" s="146" t="s">
        <v>186</v>
      </c>
      <c r="L3" s="146" t="s">
        <v>187</v>
      </c>
      <c r="M3" s="146" t="s">
        <v>188</v>
      </c>
      <c r="N3" s="146" t="s">
        <v>189</v>
      </c>
      <c r="O3" s="146" t="s">
        <v>190</v>
      </c>
      <c r="P3" s="324"/>
      <c r="R3" s="318"/>
      <c r="S3" s="319"/>
      <c r="T3" s="145" t="s">
        <v>179</v>
      </c>
      <c r="U3" s="146" t="s">
        <v>180</v>
      </c>
      <c r="V3" s="146" t="s">
        <v>181</v>
      </c>
      <c r="W3" s="146" t="s">
        <v>182</v>
      </c>
      <c r="X3" s="146" t="s">
        <v>183</v>
      </c>
      <c r="Y3" s="146" t="s">
        <v>184</v>
      </c>
      <c r="Z3" s="146" t="s">
        <v>185</v>
      </c>
      <c r="AA3" s="146" t="s">
        <v>186</v>
      </c>
      <c r="AB3" s="146" t="s">
        <v>187</v>
      </c>
      <c r="AC3" s="146" t="s">
        <v>188</v>
      </c>
      <c r="AD3" s="146" t="s">
        <v>189</v>
      </c>
      <c r="AE3" s="146" t="s">
        <v>190</v>
      </c>
    </row>
    <row r="4" spans="2:31">
      <c r="B4" s="175" t="s">
        <v>200</v>
      </c>
      <c r="C4" s="172"/>
      <c r="D4" s="173"/>
      <c r="E4" s="174"/>
      <c r="F4" s="174"/>
      <c r="G4" s="174"/>
      <c r="H4" s="174"/>
      <c r="I4" s="174"/>
      <c r="J4" s="174"/>
      <c r="K4" s="174"/>
      <c r="L4" s="174"/>
      <c r="M4" s="174"/>
      <c r="N4" s="178">
        <f>'Bottom up '!N58</f>
        <v>92</v>
      </c>
      <c r="O4" s="178">
        <f>'Bottom up '!O58</f>
        <v>62.5</v>
      </c>
      <c r="P4" s="150">
        <f>SUM(D4:O4)</f>
        <v>154.5</v>
      </c>
      <c r="R4" s="147" t="s">
        <v>214</v>
      </c>
      <c r="S4" s="285" t="s">
        <v>307</v>
      </c>
      <c r="T4" s="193">
        <v>2000</v>
      </c>
      <c r="U4" s="193">
        <f>T4+2500</f>
        <v>4500</v>
      </c>
      <c r="V4" s="193">
        <f t="shared" ref="V4:AD4" si="0">U4+2500</f>
        <v>7000</v>
      </c>
      <c r="W4" s="193">
        <f t="shared" si="0"/>
        <v>9500</v>
      </c>
      <c r="X4" s="193">
        <f t="shared" si="0"/>
        <v>12000</v>
      </c>
      <c r="Y4" s="193">
        <f t="shared" si="0"/>
        <v>14500</v>
      </c>
      <c r="Z4" s="193">
        <f t="shared" si="0"/>
        <v>17000</v>
      </c>
      <c r="AA4" s="193">
        <f t="shared" si="0"/>
        <v>19500</v>
      </c>
      <c r="AB4" s="193">
        <f t="shared" si="0"/>
        <v>22000</v>
      </c>
      <c r="AC4" s="193">
        <f t="shared" si="0"/>
        <v>24500</v>
      </c>
      <c r="AD4" s="193">
        <f t="shared" si="0"/>
        <v>27000</v>
      </c>
      <c r="AE4" s="284">
        <f>AD4+2500</f>
        <v>29500</v>
      </c>
    </row>
    <row r="5" spans="2:31" ht="15" thickBot="1">
      <c r="B5" s="147" t="s">
        <v>192</v>
      </c>
      <c r="C5" s="176">
        <v>0.9</v>
      </c>
      <c r="D5" s="148"/>
      <c r="E5" s="148"/>
      <c r="F5" s="148"/>
      <c r="G5" s="148"/>
      <c r="H5" s="148"/>
      <c r="I5" s="148"/>
      <c r="J5" s="149"/>
      <c r="K5" s="149"/>
      <c r="L5" s="149"/>
      <c r="M5" s="149"/>
      <c r="N5" s="149">
        <f>ROUND(N4*$C$5,0)</f>
        <v>83</v>
      </c>
      <c r="O5" s="149">
        <f>ROUND(O4*$C$5,0)</f>
        <v>56</v>
      </c>
      <c r="P5" s="150">
        <f>SUM(D5:O5)</f>
        <v>139</v>
      </c>
      <c r="R5" s="194" t="s">
        <v>215</v>
      </c>
      <c r="S5" s="286" t="s">
        <v>227</v>
      </c>
      <c r="T5" s="198">
        <v>0</v>
      </c>
      <c r="U5" s="195">
        <v>0</v>
      </c>
      <c r="V5" s="195">
        <v>0</v>
      </c>
      <c r="W5" s="195">
        <v>0</v>
      </c>
      <c r="X5" s="195">
        <v>0</v>
      </c>
      <c r="Y5" s="196">
        <v>45000</v>
      </c>
      <c r="Z5" s="196">
        <f>Y5+(Y5/100*5)</f>
        <v>47250</v>
      </c>
      <c r="AA5" s="196">
        <f t="shared" ref="AA5:AE5" si="1">Z5+(Z5/100*5)</f>
        <v>49612.5</v>
      </c>
      <c r="AB5" s="196">
        <f t="shared" si="1"/>
        <v>52093.125</v>
      </c>
      <c r="AC5" s="196">
        <f t="shared" si="1"/>
        <v>54697.78125</v>
      </c>
      <c r="AD5" s="196">
        <f t="shared" si="1"/>
        <v>57432.670312499999</v>
      </c>
      <c r="AE5" s="197">
        <f t="shared" si="1"/>
        <v>60304.303828124997</v>
      </c>
    </row>
    <row r="6" spans="2:31">
      <c r="B6" s="147" t="s">
        <v>193</v>
      </c>
      <c r="C6" s="177">
        <v>0.1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>
        <f>ROUND(N4*$C$6,0)</f>
        <v>9</v>
      </c>
      <c r="O6" s="149">
        <f>ROUND(O4*$C$6,0)</f>
        <v>6</v>
      </c>
      <c r="P6" s="150">
        <f t="shared" ref="P6:P8" si="2">SUM(D6:O6)</f>
        <v>15</v>
      </c>
    </row>
    <row r="7" spans="2:31">
      <c r="B7" s="147" t="s">
        <v>194</v>
      </c>
      <c r="C7" s="15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50">
        <f t="shared" si="2"/>
        <v>0</v>
      </c>
    </row>
    <row r="8" spans="2:31">
      <c r="B8" s="147" t="s">
        <v>282</v>
      </c>
      <c r="C8" s="228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>
        <f>N5*$C$8</f>
        <v>83</v>
      </c>
      <c r="O8" s="193">
        <f>SUM(N5:O5)*$C$8</f>
        <v>139</v>
      </c>
      <c r="P8" s="150">
        <f t="shared" si="2"/>
        <v>222</v>
      </c>
    </row>
    <row r="9" spans="2:31">
      <c r="B9" s="151" t="s">
        <v>299</v>
      </c>
      <c r="C9" s="153">
        <v>130</v>
      </c>
      <c r="D9" s="154">
        <f t="shared" ref="D9:O9" si="3">D5*$C$9</f>
        <v>0</v>
      </c>
      <c r="E9" s="154">
        <f t="shared" si="3"/>
        <v>0</v>
      </c>
      <c r="F9" s="154">
        <f t="shared" si="3"/>
        <v>0</v>
      </c>
      <c r="G9" s="154">
        <f t="shared" si="3"/>
        <v>0</v>
      </c>
      <c r="H9" s="154">
        <f t="shared" si="3"/>
        <v>0</v>
      </c>
      <c r="I9" s="154">
        <f t="shared" si="3"/>
        <v>0</v>
      </c>
      <c r="J9" s="154">
        <f t="shared" si="3"/>
        <v>0</v>
      </c>
      <c r="K9" s="154">
        <f t="shared" si="3"/>
        <v>0</v>
      </c>
      <c r="L9" s="154">
        <f t="shared" si="3"/>
        <v>0</v>
      </c>
      <c r="M9" s="154">
        <f t="shared" si="3"/>
        <v>0</v>
      </c>
      <c r="N9" s="154">
        <f t="shared" si="3"/>
        <v>10790</v>
      </c>
      <c r="O9" s="154">
        <f t="shared" si="3"/>
        <v>7280</v>
      </c>
      <c r="P9" s="155">
        <f>SUM(D9:O9)</f>
        <v>18070</v>
      </c>
    </row>
    <row r="10" spans="2:31">
      <c r="B10" s="151" t="s">
        <v>300</v>
      </c>
      <c r="C10" s="153">
        <v>350</v>
      </c>
      <c r="D10" s="154">
        <f t="shared" ref="D10:O10" si="4">D6*$C$10</f>
        <v>0</v>
      </c>
      <c r="E10" s="154">
        <f t="shared" si="4"/>
        <v>0</v>
      </c>
      <c r="F10" s="154">
        <f t="shared" si="4"/>
        <v>0</v>
      </c>
      <c r="G10" s="154">
        <f t="shared" si="4"/>
        <v>0</v>
      </c>
      <c r="H10" s="154">
        <f t="shared" si="4"/>
        <v>0</v>
      </c>
      <c r="I10" s="154">
        <f t="shared" si="4"/>
        <v>0</v>
      </c>
      <c r="J10" s="154">
        <f t="shared" si="4"/>
        <v>0</v>
      </c>
      <c r="K10" s="154">
        <f t="shared" si="4"/>
        <v>0</v>
      </c>
      <c r="L10" s="154">
        <f t="shared" si="4"/>
        <v>0</v>
      </c>
      <c r="M10" s="154">
        <f t="shared" si="4"/>
        <v>0</v>
      </c>
      <c r="N10" s="154">
        <f t="shared" si="4"/>
        <v>3150</v>
      </c>
      <c r="O10" s="154">
        <f t="shared" si="4"/>
        <v>2100</v>
      </c>
      <c r="P10" s="155">
        <f t="shared" ref="P10:P11" si="5">SUM(D10:O10)</f>
        <v>5250</v>
      </c>
    </row>
    <row r="11" spans="2:31">
      <c r="B11" s="151" t="s">
        <v>195</v>
      </c>
      <c r="C11" s="153">
        <v>7500</v>
      </c>
      <c r="D11" s="154">
        <f t="shared" ref="D11:O11" si="6">D7*$C$11</f>
        <v>0</v>
      </c>
      <c r="E11" s="154">
        <f t="shared" si="6"/>
        <v>0</v>
      </c>
      <c r="F11" s="154">
        <f t="shared" si="6"/>
        <v>0</v>
      </c>
      <c r="G11" s="154">
        <f t="shared" si="6"/>
        <v>0</v>
      </c>
      <c r="H11" s="154">
        <f t="shared" si="6"/>
        <v>0</v>
      </c>
      <c r="I11" s="154">
        <f t="shared" si="6"/>
        <v>0</v>
      </c>
      <c r="J11" s="154">
        <f t="shared" si="6"/>
        <v>0</v>
      </c>
      <c r="K11" s="154">
        <f t="shared" si="6"/>
        <v>0</v>
      </c>
      <c r="L11" s="154">
        <f t="shared" si="6"/>
        <v>0</v>
      </c>
      <c r="M11" s="154">
        <f t="shared" si="6"/>
        <v>0</v>
      </c>
      <c r="N11" s="154">
        <f t="shared" si="6"/>
        <v>0</v>
      </c>
      <c r="O11" s="154">
        <f t="shared" si="6"/>
        <v>0</v>
      </c>
      <c r="P11" s="155">
        <f t="shared" si="5"/>
        <v>0</v>
      </c>
    </row>
    <row r="12" spans="2:31">
      <c r="B12" s="225" t="s">
        <v>242</v>
      </c>
      <c r="C12" s="226">
        <v>9.99</v>
      </c>
      <c r="D12" s="227">
        <f>D8*$C$12</f>
        <v>0</v>
      </c>
      <c r="E12" s="227">
        <f t="shared" ref="E12:O12" si="7">E8*$C$12</f>
        <v>0</v>
      </c>
      <c r="F12" s="227">
        <f t="shared" si="7"/>
        <v>0</v>
      </c>
      <c r="G12" s="227">
        <f t="shared" si="7"/>
        <v>0</v>
      </c>
      <c r="H12" s="227">
        <f t="shared" si="7"/>
        <v>0</v>
      </c>
      <c r="I12" s="227">
        <f t="shared" si="7"/>
        <v>0</v>
      </c>
      <c r="J12" s="227">
        <f t="shared" si="7"/>
        <v>0</v>
      </c>
      <c r="K12" s="227">
        <f t="shared" si="7"/>
        <v>0</v>
      </c>
      <c r="L12" s="227">
        <f t="shared" si="7"/>
        <v>0</v>
      </c>
      <c r="M12" s="227">
        <f t="shared" si="7"/>
        <v>0</v>
      </c>
      <c r="N12" s="227">
        <f t="shared" si="7"/>
        <v>829.17000000000007</v>
      </c>
      <c r="O12" s="227">
        <f t="shared" si="7"/>
        <v>1388.6100000000001</v>
      </c>
      <c r="P12" s="155">
        <f>SUM(D12:O12)</f>
        <v>2217.7800000000002</v>
      </c>
    </row>
    <row r="13" spans="2:31" ht="15" thickBot="1">
      <c r="B13" s="158" t="s">
        <v>191</v>
      </c>
      <c r="C13" s="159"/>
      <c r="D13" s="169">
        <f>SUM(D9:D12)</f>
        <v>0</v>
      </c>
      <c r="E13" s="169">
        <f t="shared" ref="E13:O13" si="8">SUM(E9:E12)</f>
        <v>0</v>
      </c>
      <c r="F13" s="169">
        <f t="shared" si="8"/>
        <v>0</v>
      </c>
      <c r="G13" s="169">
        <f t="shared" si="8"/>
        <v>0</v>
      </c>
      <c r="H13" s="169">
        <f t="shared" si="8"/>
        <v>0</v>
      </c>
      <c r="I13" s="169">
        <f t="shared" si="8"/>
        <v>0</v>
      </c>
      <c r="J13" s="169">
        <f t="shared" si="8"/>
        <v>0</v>
      </c>
      <c r="K13" s="169">
        <f t="shared" si="8"/>
        <v>0</v>
      </c>
      <c r="L13" s="169">
        <f t="shared" si="8"/>
        <v>0</v>
      </c>
      <c r="M13" s="169">
        <f t="shared" si="8"/>
        <v>0</v>
      </c>
      <c r="N13" s="169">
        <f t="shared" si="8"/>
        <v>14769.17</v>
      </c>
      <c r="O13" s="169">
        <f t="shared" si="8"/>
        <v>10768.61</v>
      </c>
      <c r="P13" s="170">
        <f>SUM(D13:O13)</f>
        <v>25537.78</v>
      </c>
    </row>
    <row r="14" spans="2:31" ht="15" thickBot="1"/>
    <row r="15" spans="2:31">
      <c r="B15" s="316">
        <v>2019</v>
      </c>
      <c r="C15" s="317"/>
      <c r="D15" s="304" t="s">
        <v>174</v>
      </c>
      <c r="E15" s="304"/>
      <c r="F15" s="304"/>
      <c r="G15" s="304" t="s">
        <v>175</v>
      </c>
      <c r="H15" s="304"/>
      <c r="I15" s="304"/>
      <c r="J15" s="304" t="s">
        <v>176</v>
      </c>
      <c r="K15" s="304"/>
      <c r="L15" s="304"/>
      <c r="M15" s="304" t="s">
        <v>177</v>
      </c>
      <c r="N15" s="304"/>
      <c r="O15" s="304"/>
      <c r="P15" s="314" t="s">
        <v>196</v>
      </c>
      <c r="R15" s="316">
        <v>2019</v>
      </c>
      <c r="S15" s="317"/>
      <c r="T15" s="322" t="s">
        <v>174</v>
      </c>
      <c r="U15" s="304"/>
      <c r="V15" s="304"/>
      <c r="W15" s="304" t="s">
        <v>175</v>
      </c>
      <c r="X15" s="304"/>
      <c r="Y15" s="304"/>
      <c r="Z15" s="304" t="s">
        <v>176</v>
      </c>
      <c r="AA15" s="304"/>
      <c r="AB15" s="304"/>
      <c r="AC15" s="304" t="s">
        <v>177</v>
      </c>
      <c r="AD15" s="304"/>
      <c r="AE15" s="305"/>
    </row>
    <row r="16" spans="2:31">
      <c r="B16" s="318"/>
      <c r="C16" s="319"/>
      <c r="D16" s="146" t="s">
        <v>179</v>
      </c>
      <c r="E16" s="146" t="s">
        <v>180</v>
      </c>
      <c r="F16" s="146" t="s">
        <v>181</v>
      </c>
      <c r="G16" s="146" t="s">
        <v>182</v>
      </c>
      <c r="H16" s="146" t="s">
        <v>183</v>
      </c>
      <c r="I16" s="146" t="s">
        <v>184</v>
      </c>
      <c r="J16" s="146" t="s">
        <v>185</v>
      </c>
      <c r="K16" s="146" t="s">
        <v>186</v>
      </c>
      <c r="L16" s="146" t="s">
        <v>187</v>
      </c>
      <c r="M16" s="146" t="s">
        <v>188</v>
      </c>
      <c r="N16" s="146" t="s">
        <v>189</v>
      </c>
      <c r="O16" s="146" t="s">
        <v>190</v>
      </c>
      <c r="P16" s="315"/>
      <c r="R16" s="320"/>
      <c r="S16" s="321"/>
      <c r="T16" s="145" t="s">
        <v>179</v>
      </c>
      <c r="U16" s="199" t="s">
        <v>180</v>
      </c>
      <c r="V16" s="199" t="s">
        <v>181</v>
      </c>
      <c r="W16" s="199" t="s">
        <v>182</v>
      </c>
      <c r="X16" s="199" t="s">
        <v>183</v>
      </c>
      <c r="Y16" s="199" t="s">
        <v>184</v>
      </c>
      <c r="Z16" s="199" t="s">
        <v>185</v>
      </c>
      <c r="AA16" s="199" t="s">
        <v>186</v>
      </c>
      <c r="AB16" s="199" t="s">
        <v>187</v>
      </c>
      <c r="AC16" s="199" t="s">
        <v>188</v>
      </c>
      <c r="AD16" s="199" t="s">
        <v>189</v>
      </c>
      <c r="AE16" s="200" t="s">
        <v>190</v>
      </c>
    </row>
    <row r="17" spans="2:31">
      <c r="B17" s="175" t="s">
        <v>200</v>
      </c>
      <c r="C17" s="172"/>
      <c r="D17" s="179">
        <f>'Bottom up '!D59</f>
        <v>98.75</v>
      </c>
      <c r="E17" s="179">
        <f>'Bottom up '!E59</f>
        <v>108.75</v>
      </c>
      <c r="F17" s="179">
        <f>'Bottom up '!F59</f>
        <v>108.75</v>
      </c>
      <c r="G17" s="179">
        <f>'Bottom up '!G59</f>
        <v>108.75</v>
      </c>
      <c r="H17" s="179">
        <f>'Bottom up '!H59</f>
        <v>108.75</v>
      </c>
      <c r="I17" s="179">
        <f>'Bottom up '!I59</f>
        <v>108.75</v>
      </c>
      <c r="J17" s="179">
        <f>'Bottom up '!J59</f>
        <v>108.75</v>
      </c>
      <c r="K17" s="179">
        <f>'Bottom up '!K59</f>
        <v>108.75</v>
      </c>
      <c r="L17" s="179">
        <f>'Bottom up '!L59</f>
        <v>177.5</v>
      </c>
      <c r="M17" s="179">
        <f>'Bottom up '!M59</f>
        <v>177.5</v>
      </c>
      <c r="N17" s="179">
        <f>'Bottom up '!N59</f>
        <v>177.5</v>
      </c>
      <c r="O17" s="179">
        <f>'Bottom up '!O59</f>
        <v>177.5</v>
      </c>
      <c r="P17" s="150">
        <f>SUM(D17:O17)</f>
        <v>1570</v>
      </c>
      <c r="R17" s="147" t="s">
        <v>214</v>
      </c>
      <c r="S17" s="285" t="s">
        <v>308</v>
      </c>
      <c r="T17" s="193">
        <f>AE4+3500</f>
        <v>33000</v>
      </c>
      <c r="U17" s="193">
        <f>T17+3500</f>
        <v>36500</v>
      </c>
      <c r="V17" s="193">
        <f t="shared" ref="V17:AD17" si="9">U17+3500</f>
        <v>40000</v>
      </c>
      <c r="W17" s="193">
        <f t="shared" si="9"/>
        <v>43500</v>
      </c>
      <c r="X17" s="193">
        <f t="shared" si="9"/>
        <v>47000</v>
      </c>
      <c r="Y17" s="193">
        <f t="shared" si="9"/>
        <v>50500</v>
      </c>
      <c r="Z17" s="193">
        <f t="shared" si="9"/>
        <v>54000</v>
      </c>
      <c r="AA17" s="193">
        <f t="shared" si="9"/>
        <v>57500</v>
      </c>
      <c r="AB17" s="193">
        <f t="shared" si="9"/>
        <v>61000</v>
      </c>
      <c r="AC17" s="193">
        <f t="shared" si="9"/>
        <v>64500</v>
      </c>
      <c r="AD17" s="193">
        <f t="shared" si="9"/>
        <v>68000</v>
      </c>
      <c r="AE17" s="284">
        <f>AD17+3500</f>
        <v>71500</v>
      </c>
    </row>
    <row r="18" spans="2:31" ht="15" thickBot="1">
      <c r="B18" s="151" t="s">
        <v>192</v>
      </c>
      <c r="C18" s="176">
        <v>0.8</v>
      </c>
      <c r="D18" s="149">
        <f>D17*$C$18</f>
        <v>79</v>
      </c>
      <c r="E18" s="149">
        <f t="shared" ref="E18:N18" si="10">E17*$C$18</f>
        <v>87</v>
      </c>
      <c r="F18" s="149">
        <f t="shared" si="10"/>
        <v>87</v>
      </c>
      <c r="G18" s="149">
        <f t="shared" si="10"/>
        <v>87</v>
      </c>
      <c r="H18" s="149">
        <f t="shared" si="10"/>
        <v>87</v>
      </c>
      <c r="I18" s="149">
        <f t="shared" si="10"/>
        <v>87</v>
      </c>
      <c r="J18" s="149">
        <f t="shared" si="10"/>
        <v>87</v>
      </c>
      <c r="K18" s="149">
        <f>K17*$C$18</f>
        <v>87</v>
      </c>
      <c r="L18" s="149">
        <f>L17*$C$18</f>
        <v>142</v>
      </c>
      <c r="M18" s="149">
        <f t="shared" si="10"/>
        <v>142</v>
      </c>
      <c r="N18" s="149">
        <f t="shared" si="10"/>
        <v>142</v>
      </c>
      <c r="O18" s="149">
        <f>O17*$C$18</f>
        <v>142</v>
      </c>
      <c r="P18" s="150">
        <f>SUM(D18:O18)</f>
        <v>1256</v>
      </c>
      <c r="R18" s="194" t="s">
        <v>215</v>
      </c>
      <c r="S18" s="286" t="s">
        <v>306</v>
      </c>
      <c r="T18" s="201">
        <f>AE5*1.1</f>
        <v>66334.734210937502</v>
      </c>
      <c r="U18" s="201">
        <f>T18*1.1</f>
        <v>72968.207632031263</v>
      </c>
      <c r="V18" s="201">
        <f t="shared" ref="V18:AD18" si="11">U18*1.1</f>
        <v>80265.028395234389</v>
      </c>
      <c r="W18" s="201">
        <f t="shared" si="11"/>
        <v>88291.531234757829</v>
      </c>
      <c r="X18" s="201">
        <f t="shared" si="11"/>
        <v>97120.684358233615</v>
      </c>
      <c r="Y18" s="201">
        <f t="shared" si="11"/>
        <v>106832.75279405699</v>
      </c>
      <c r="Z18" s="201">
        <f t="shared" si="11"/>
        <v>117516.02807346269</v>
      </c>
      <c r="AA18" s="201">
        <f t="shared" si="11"/>
        <v>129267.63088080897</v>
      </c>
      <c r="AB18" s="201">
        <f t="shared" si="11"/>
        <v>142194.39396888987</v>
      </c>
      <c r="AC18" s="201">
        <f t="shared" si="11"/>
        <v>156413.83336577888</v>
      </c>
      <c r="AD18" s="201">
        <f t="shared" si="11"/>
        <v>172055.21670235679</v>
      </c>
      <c r="AE18" s="202">
        <f>AD18*1.1</f>
        <v>189260.73837259249</v>
      </c>
    </row>
    <row r="19" spans="2:31">
      <c r="B19" s="151" t="s">
        <v>193</v>
      </c>
      <c r="C19" s="177">
        <v>0.2</v>
      </c>
      <c r="D19" s="149">
        <f>D17*$C$19</f>
        <v>19.75</v>
      </c>
      <c r="E19" s="149">
        <f t="shared" ref="E19:O19" si="12">E17*$C$19</f>
        <v>21.75</v>
      </c>
      <c r="F19" s="149">
        <f t="shared" si="12"/>
        <v>21.75</v>
      </c>
      <c r="G19" s="149">
        <f t="shared" si="12"/>
        <v>21.75</v>
      </c>
      <c r="H19" s="149">
        <f t="shared" si="12"/>
        <v>21.75</v>
      </c>
      <c r="I19" s="149">
        <f t="shared" si="12"/>
        <v>21.75</v>
      </c>
      <c r="J19" s="149">
        <f t="shared" si="12"/>
        <v>21.75</v>
      </c>
      <c r="K19" s="149">
        <f t="shared" si="12"/>
        <v>21.75</v>
      </c>
      <c r="L19" s="149">
        <f t="shared" si="12"/>
        <v>35.5</v>
      </c>
      <c r="M19" s="149">
        <f t="shared" si="12"/>
        <v>35.5</v>
      </c>
      <c r="N19" s="149">
        <f t="shared" si="12"/>
        <v>35.5</v>
      </c>
      <c r="O19" s="149">
        <f t="shared" si="12"/>
        <v>35.5</v>
      </c>
      <c r="P19" s="150">
        <f t="shared" ref="P19:P21" si="13">SUM(D19:O19)</f>
        <v>314</v>
      </c>
    </row>
    <row r="20" spans="2:31">
      <c r="B20" s="151" t="s">
        <v>194</v>
      </c>
      <c r="C20" s="160"/>
      <c r="D20" s="148"/>
      <c r="E20" s="148"/>
      <c r="F20" s="148"/>
      <c r="G20" s="148">
        <v>1</v>
      </c>
      <c r="H20" s="148"/>
      <c r="I20" s="148"/>
      <c r="J20" s="148">
        <v>1</v>
      </c>
      <c r="K20" s="148"/>
      <c r="L20" s="148"/>
      <c r="M20" s="148">
        <v>1</v>
      </c>
      <c r="N20" s="148"/>
      <c r="O20" s="148"/>
      <c r="P20" s="150">
        <f t="shared" si="13"/>
        <v>3</v>
      </c>
    </row>
    <row r="21" spans="2:31">
      <c r="B21" s="147" t="s">
        <v>243</v>
      </c>
      <c r="C21" s="228">
        <v>1</v>
      </c>
      <c r="D21" s="193">
        <f>SUM(N5:O5,D18)*$C$21</f>
        <v>218</v>
      </c>
      <c r="E21" s="193">
        <f>SUM(N5:O5,D18:E18)*$C$21</f>
        <v>305</v>
      </c>
      <c r="F21" s="193">
        <f>SUM(N5:O5,D18:F18)*$C$21</f>
        <v>392</v>
      </c>
      <c r="G21" s="193">
        <f>SUM(N5:O5,D18:G18)*1.5</f>
        <v>718.5</v>
      </c>
      <c r="H21" s="193">
        <f>SUM(N5:O5,D18:H18)*$C$21</f>
        <v>566</v>
      </c>
      <c r="I21" s="193">
        <f>SUM(N5:O5,D18:I18)*$C$21</f>
        <v>653</v>
      </c>
      <c r="J21" s="193">
        <f>SUM(N5:O5,D18:J18)*2</f>
        <v>1480</v>
      </c>
      <c r="K21" s="193">
        <f>SUM(N5:O5,D18:K18)*2</f>
        <v>1654</v>
      </c>
      <c r="L21" s="193">
        <f>SUM(N5:O5,D18:L18)*$C$21</f>
        <v>969</v>
      </c>
      <c r="M21" s="193">
        <f>SUM(N5:O5,D18:M18)*$C$21</f>
        <v>1111</v>
      </c>
      <c r="N21" s="193">
        <f>(SUM(O5,D18:N18)+(N5*(1-$C$27)))*$C$21</f>
        <v>1248.8499999999999</v>
      </c>
      <c r="O21" s="193">
        <f>(SUM(D18:O18)+(SUM(N5:O5)*(1-$C$27)))*1.5</f>
        <v>2082.0749999999998</v>
      </c>
      <c r="P21" s="230">
        <f t="shared" si="13"/>
        <v>11397.424999999999</v>
      </c>
    </row>
    <row r="22" spans="2:31">
      <c r="B22" s="151" t="s">
        <v>299</v>
      </c>
      <c r="C22" s="161">
        <v>130</v>
      </c>
      <c r="D22" s="154">
        <f>D18*$C$22</f>
        <v>10270</v>
      </c>
      <c r="E22" s="154">
        <f t="shared" ref="E22:O22" si="14">E18*$C$22</f>
        <v>11310</v>
      </c>
      <c r="F22" s="154">
        <f t="shared" si="14"/>
        <v>11310</v>
      </c>
      <c r="G22" s="154">
        <f t="shared" si="14"/>
        <v>11310</v>
      </c>
      <c r="H22" s="154">
        <f t="shared" si="14"/>
        <v>11310</v>
      </c>
      <c r="I22" s="154">
        <f t="shared" si="14"/>
        <v>11310</v>
      </c>
      <c r="J22" s="154">
        <f t="shared" si="14"/>
        <v>11310</v>
      </c>
      <c r="K22" s="154">
        <f t="shared" si="14"/>
        <v>11310</v>
      </c>
      <c r="L22" s="154">
        <f t="shared" si="14"/>
        <v>18460</v>
      </c>
      <c r="M22" s="154">
        <f t="shared" si="14"/>
        <v>18460</v>
      </c>
      <c r="N22" s="154">
        <f t="shared" si="14"/>
        <v>18460</v>
      </c>
      <c r="O22" s="154">
        <f t="shared" si="14"/>
        <v>18460</v>
      </c>
      <c r="P22" s="155">
        <f>SUM(D22:O22)</f>
        <v>163280</v>
      </c>
    </row>
    <row r="23" spans="2:31">
      <c r="B23" s="151" t="s">
        <v>300</v>
      </c>
      <c r="C23" s="161">
        <v>350</v>
      </c>
      <c r="D23" s="154">
        <f>D19*$C$23</f>
        <v>6912.5</v>
      </c>
      <c r="E23" s="154">
        <f t="shared" ref="E23:O23" si="15">E19*$C$23</f>
        <v>7612.5</v>
      </c>
      <c r="F23" s="154">
        <f t="shared" si="15"/>
        <v>7612.5</v>
      </c>
      <c r="G23" s="154">
        <f t="shared" si="15"/>
        <v>7612.5</v>
      </c>
      <c r="H23" s="154">
        <f t="shared" si="15"/>
        <v>7612.5</v>
      </c>
      <c r="I23" s="154">
        <f t="shared" si="15"/>
        <v>7612.5</v>
      </c>
      <c r="J23" s="154">
        <f t="shared" si="15"/>
        <v>7612.5</v>
      </c>
      <c r="K23" s="154">
        <f t="shared" si="15"/>
        <v>7612.5</v>
      </c>
      <c r="L23" s="154">
        <f t="shared" si="15"/>
        <v>12425</v>
      </c>
      <c r="M23" s="154">
        <f t="shared" si="15"/>
        <v>12425</v>
      </c>
      <c r="N23" s="154">
        <f t="shared" si="15"/>
        <v>12425</v>
      </c>
      <c r="O23" s="154">
        <f t="shared" si="15"/>
        <v>12425</v>
      </c>
      <c r="P23" s="155">
        <f t="shared" ref="P23:P25" si="16">SUM(D23:O23)</f>
        <v>109900</v>
      </c>
    </row>
    <row r="24" spans="2:31">
      <c r="B24" s="151" t="s">
        <v>195</v>
      </c>
      <c r="C24" s="153">
        <v>7500</v>
      </c>
      <c r="D24" s="154">
        <f>D20*$C$24</f>
        <v>0</v>
      </c>
      <c r="E24" s="154">
        <f t="shared" ref="E24:O24" si="17">E20*$C$24</f>
        <v>0</v>
      </c>
      <c r="F24" s="154">
        <f t="shared" si="17"/>
        <v>0</v>
      </c>
      <c r="G24" s="154">
        <f t="shared" si="17"/>
        <v>7500</v>
      </c>
      <c r="H24" s="154">
        <f t="shared" si="17"/>
        <v>0</v>
      </c>
      <c r="I24" s="154">
        <f t="shared" si="17"/>
        <v>0</v>
      </c>
      <c r="J24" s="154">
        <f t="shared" si="17"/>
        <v>7500</v>
      </c>
      <c r="K24" s="154">
        <f t="shared" si="17"/>
        <v>0</v>
      </c>
      <c r="L24" s="154">
        <f t="shared" si="17"/>
        <v>0</v>
      </c>
      <c r="M24" s="154">
        <f t="shared" si="17"/>
        <v>7500</v>
      </c>
      <c r="N24" s="154">
        <f t="shared" si="17"/>
        <v>0</v>
      </c>
      <c r="O24" s="154">
        <f t="shared" si="17"/>
        <v>0</v>
      </c>
      <c r="P24" s="155">
        <f t="shared" si="16"/>
        <v>22500</v>
      </c>
    </row>
    <row r="25" spans="2:31">
      <c r="B25" s="225" t="s">
        <v>242</v>
      </c>
      <c r="C25" s="229">
        <v>9.99</v>
      </c>
      <c r="D25" s="223">
        <f t="shared" ref="D25:O25" si="18">D21*$C$25</f>
        <v>2177.8200000000002</v>
      </c>
      <c r="E25" s="223">
        <f t="shared" si="18"/>
        <v>3046.9500000000003</v>
      </c>
      <c r="F25" s="223">
        <f t="shared" si="18"/>
        <v>3916.08</v>
      </c>
      <c r="G25" s="223">
        <f t="shared" si="18"/>
        <v>7177.8150000000005</v>
      </c>
      <c r="H25" s="223">
        <f t="shared" si="18"/>
        <v>5654.34</v>
      </c>
      <c r="I25" s="223">
        <f t="shared" si="18"/>
        <v>6523.47</v>
      </c>
      <c r="J25" s="223">
        <f t="shared" si="18"/>
        <v>14785.2</v>
      </c>
      <c r="K25" s="223">
        <f t="shared" si="18"/>
        <v>16523.46</v>
      </c>
      <c r="L25" s="223">
        <f t="shared" si="18"/>
        <v>9680.31</v>
      </c>
      <c r="M25" s="223">
        <f t="shared" si="18"/>
        <v>11098.89</v>
      </c>
      <c r="N25" s="223">
        <f t="shared" si="18"/>
        <v>12476.011499999999</v>
      </c>
      <c r="O25" s="223">
        <f t="shared" si="18"/>
        <v>20799.929249999997</v>
      </c>
      <c r="P25" s="155">
        <f t="shared" si="16"/>
        <v>113860.27575</v>
      </c>
    </row>
    <row r="26" spans="2:31">
      <c r="B26" s="156" t="s">
        <v>191</v>
      </c>
      <c r="C26" s="162"/>
      <c r="D26" s="165">
        <f>SUM(D22:D25)</f>
        <v>19360.32</v>
      </c>
      <c r="E26" s="165">
        <f t="shared" ref="E26:O26" si="19">SUM(E22:E25)</f>
        <v>21969.45</v>
      </c>
      <c r="F26" s="165">
        <f t="shared" si="19"/>
        <v>22838.58</v>
      </c>
      <c r="G26" s="165">
        <f t="shared" si="19"/>
        <v>33600.315000000002</v>
      </c>
      <c r="H26" s="165">
        <f t="shared" si="19"/>
        <v>24576.84</v>
      </c>
      <c r="I26" s="165">
        <f t="shared" si="19"/>
        <v>25445.97</v>
      </c>
      <c r="J26" s="165">
        <f t="shared" si="19"/>
        <v>41207.699999999997</v>
      </c>
      <c r="K26" s="165">
        <f t="shared" si="19"/>
        <v>35445.96</v>
      </c>
      <c r="L26" s="165">
        <f t="shared" si="19"/>
        <v>40565.31</v>
      </c>
      <c r="M26" s="165">
        <f t="shared" si="19"/>
        <v>49483.89</v>
      </c>
      <c r="N26" s="165">
        <f>SUM(N22:N25)</f>
        <v>43361.011500000001</v>
      </c>
      <c r="O26" s="165">
        <f t="shared" si="19"/>
        <v>51684.929250000001</v>
      </c>
      <c r="P26" s="157">
        <f t="shared" ref="P26:P28" si="20">SUM(D26:O26)</f>
        <v>409540.27574999997</v>
      </c>
    </row>
    <row r="27" spans="2:31">
      <c r="B27" s="151" t="s">
        <v>301</v>
      </c>
      <c r="C27" s="163">
        <v>0.05</v>
      </c>
      <c r="D27" s="164">
        <f t="shared" ref="D27:M27" si="21">(D13-D12)*(1-$C$27)</f>
        <v>0</v>
      </c>
      <c r="E27" s="164">
        <f t="shared" si="21"/>
        <v>0</v>
      </c>
      <c r="F27" s="164">
        <f t="shared" si="21"/>
        <v>0</v>
      </c>
      <c r="G27" s="164">
        <f t="shared" si="21"/>
        <v>0</v>
      </c>
      <c r="H27" s="164">
        <f t="shared" si="21"/>
        <v>0</v>
      </c>
      <c r="I27" s="164">
        <f t="shared" si="21"/>
        <v>0</v>
      </c>
      <c r="J27" s="164">
        <f t="shared" si="21"/>
        <v>0</v>
      </c>
      <c r="K27" s="164">
        <f t="shared" si="21"/>
        <v>0</v>
      </c>
      <c r="L27" s="164">
        <f t="shared" si="21"/>
        <v>0</v>
      </c>
      <c r="M27" s="164">
        <f t="shared" si="21"/>
        <v>0</v>
      </c>
      <c r="N27" s="164">
        <f>(N13-N12)*(1-$C$27)*1.1</f>
        <v>14567.300000000001</v>
      </c>
      <c r="O27" s="164">
        <f>(O13-O12)*(1-$C$27)*1.1</f>
        <v>9802.1</v>
      </c>
      <c r="P27" s="171">
        <f t="shared" si="20"/>
        <v>24369.4</v>
      </c>
    </row>
    <row r="28" spans="2:31">
      <c r="B28" s="156" t="s">
        <v>198</v>
      </c>
      <c r="C28" s="162"/>
      <c r="D28" s="165">
        <f>D27</f>
        <v>0</v>
      </c>
      <c r="E28" s="165">
        <f t="shared" ref="E28:O28" si="22">E27</f>
        <v>0</v>
      </c>
      <c r="F28" s="165">
        <f t="shared" si="22"/>
        <v>0</v>
      </c>
      <c r="G28" s="165">
        <f t="shared" si="22"/>
        <v>0</v>
      </c>
      <c r="H28" s="165">
        <f t="shared" si="22"/>
        <v>0</v>
      </c>
      <c r="I28" s="165">
        <f t="shared" si="22"/>
        <v>0</v>
      </c>
      <c r="J28" s="165">
        <f t="shared" si="22"/>
        <v>0</v>
      </c>
      <c r="K28" s="165">
        <f t="shared" si="22"/>
        <v>0</v>
      </c>
      <c r="L28" s="165">
        <f t="shared" si="22"/>
        <v>0</v>
      </c>
      <c r="M28" s="165">
        <f t="shared" si="22"/>
        <v>0</v>
      </c>
      <c r="N28" s="165">
        <f t="shared" si="22"/>
        <v>14567.300000000001</v>
      </c>
      <c r="O28" s="165">
        <f t="shared" si="22"/>
        <v>9802.1</v>
      </c>
      <c r="P28" s="157">
        <f t="shared" si="20"/>
        <v>24369.4</v>
      </c>
    </row>
    <row r="29" spans="2:31" ht="15" thickBot="1">
      <c r="B29" s="158" t="s">
        <v>199</v>
      </c>
      <c r="C29" s="166"/>
      <c r="D29" s="180">
        <f>D26+D28</f>
        <v>19360.32</v>
      </c>
      <c r="E29" s="180">
        <f t="shared" ref="E29:O29" si="23">E26+E28</f>
        <v>21969.45</v>
      </c>
      <c r="F29" s="180">
        <f t="shared" si="23"/>
        <v>22838.58</v>
      </c>
      <c r="G29" s="180">
        <f t="shared" si="23"/>
        <v>33600.315000000002</v>
      </c>
      <c r="H29" s="180">
        <f t="shared" si="23"/>
        <v>24576.84</v>
      </c>
      <c r="I29" s="180">
        <f t="shared" si="23"/>
        <v>25445.97</v>
      </c>
      <c r="J29" s="180">
        <f t="shared" si="23"/>
        <v>41207.699999999997</v>
      </c>
      <c r="K29" s="180">
        <f>K26+K28</f>
        <v>35445.96</v>
      </c>
      <c r="L29" s="180">
        <f t="shared" si="23"/>
        <v>40565.31</v>
      </c>
      <c r="M29" s="180">
        <f t="shared" si="23"/>
        <v>49483.89</v>
      </c>
      <c r="N29" s="180">
        <f>N26+N28</f>
        <v>57928.311500000003</v>
      </c>
      <c r="O29" s="180">
        <f t="shared" si="23"/>
        <v>61487.02925</v>
      </c>
      <c r="P29" s="181">
        <f>SUM(D29:O29)</f>
        <v>433909.67574999999</v>
      </c>
    </row>
    <row r="30" spans="2:31" ht="15" thickBot="1"/>
    <row r="31" spans="2:31">
      <c r="B31" s="316">
        <v>2020</v>
      </c>
      <c r="C31" s="317"/>
      <c r="D31" s="304" t="s">
        <v>174</v>
      </c>
      <c r="E31" s="304"/>
      <c r="F31" s="304"/>
      <c r="G31" s="304" t="s">
        <v>175</v>
      </c>
      <c r="H31" s="304"/>
      <c r="I31" s="304"/>
      <c r="J31" s="304" t="s">
        <v>176</v>
      </c>
      <c r="K31" s="304"/>
      <c r="L31" s="304"/>
      <c r="M31" s="304" t="s">
        <v>177</v>
      </c>
      <c r="N31" s="304"/>
      <c r="O31" s="304"/>
      <c r="P31" s="314" t="s">
        <v>232</v>
      </c>
      <c r="R31" s="316">
        <v>2020</v>
      </c>
      <c r="S31" s="317"/>
      <c r="T31" s="322" t="s">
        <v>174</v>
      </c>
      <c r="U31" s="304"/>
      <c r="V31" s="304"/>
      <c r="W31" s="304" t="s">
        <v>175</v>
      </c>
      <c r="X31" s="304"/>
      <c r="Y31" s="304"/>
      <c r="Z31" s="304" t="s">
        <v>176</v>
      </c>
      <c r="AA31" s="304"/>
      <c r="AB31" s="304"/>
      <c r="AC31" s="304" t="s">
        <v>177</v>
      </c>
      <c r="AD31" s="304"/>
      <c r="AE31" s="305"/>
    </row>
    <row r="32" spans="2:31">
      <c r="B32" s="318"/>
      <c r="C32" s="319"/>
      <c r="D32" s="146" t="s">
        <v>179</v>
      </c>
      <c r="E32" s="146" t="s">
        <v>180</v>
      </c>
      <c r="F32" s="146" t="s">
        <v>181</v>
      </c>
      <c r="G32" s="146" t="s">
        <v>182</v>
      </c>
      <c r="H32" s="146" t="s">
        <v>183</v>
      </c>
      <c r="I32" s="146" t="s">
        <v>184</v>
      </c>
      <c r="J32" s="146" t="s">
        <v>185</v>
      </c>
      <c r="K32" s="146" t="s">
        <v>186</v>
      </c>
      <c r="L32" s="146" t="s">
        <v>187</v>
      </c>
      <c r="M32" s="146" t="s">
        <v>188</v>
      </c>
      <c r="N32" s="146" t="s">
        <v>189</v>
      </c>
      <c r="O32" s="146" t="s">
        <v>190</v>
      </c>
      <c r="P32" s="315"/>
      <c r="R32" s="320"/>
      <c r="S32" s="321"/>
      <c r="T32" s="145" t="s">
        <v>179</v>
      </c>
      <c r="U32" s="199" t="s">
        <v>180</v>
      </c>
      <c r="V32" s="199" t="s">
        <v>181</v>
      </c>
      <c r="W32" s="199" t="s">
        <v>182</v>
      </c>
      <c r="X32" s="199" t="s">
        <v>183</v>
      </c>
      <c r="Y32" s="199" t="s">
        <v>184</v>
      </c>
      <c r="Z32" s="199" t="s">
        <v>185</v>
      </c>
      <c r="AA32" s="199" t="s">
        <v>186</v>
      </c>
      <c r="AB32" s="199" t="s">
        <v>187</v>
      </c>
      <c r="AC32" s="199" t="s">
        <v>188</v>
      </c>
      <c r="AD32" s="199" t="s">
        <v>189</v>
      </c>
      <c r="AE32" s="200" t="s">
        <v>190</v>
      </c>
    </row>
    <row r="33" spans="2:31">
      <c r="B33" s="175" t="s">
        <v>200</v>
      </c>
      <c r="C33" s="172"/>
      <c r="D33" s="258">
        <f>'Bottom up '!D60</f>
        <v>190</v>
      </c>
      <c r="E33" s="258">
        <f>'Bottom up '!E60</f>
        <v>190</v>
      </c>
      <c r="F33" s="258">
        <f>'Bottom up '!F60</f>
        <v>190</v>
      </c>
      <c r="G33" s="258">
        <f>'Bottom up '!G60</f>
        <v>190</v>
      </c>
      <c r="H33" s="258">
        <f>'Bottom up '!H60</f>
        <v>190</v>
      </c>
      <c r="I33" s="258">
        <f>'Bottom up '!I60</f>
        <v>190</v>
      </c>
      <c r="J33" s="258">
        <f>'Bottom up '!J60</f>
        <v>190</v>
      </c>
      <c r="K33" s="258">
        <f>'Bottom up '!K60</f>
        <v>190</v>
      </c>
      <c r="L33" s="258">
        <f>'Bottom up '!L60</f>
        <v>190</v>
      </c>
      <c r="M33" s="258">
        <f>'Bottom up '!M60</f>
        <v>190</v>
      </c>
      <c r="N33" s="258">
        <f>'Bottom up '!N60</f>
        <v>190</v>
      </c>
      <c r="O33" s="258">
        <f>'Bottom up '!O60</f>
        <v>190</v>
      </c>
      <c r="P33" s="150">
        <f>SUM(D33:O33)</f>
        <v>2280</v>
      </c>
      <c r="R33" s="147" t="s">
        <v>214</v>
      </c>
      <c r="S33" s="285" t="s">
        <v>309</v>
      </c>
      <c r="T33" s="193">
        <f>AE17+4000</f>
        <v>75500</v>
      </c>
      <c r="U33" s="193">
        <f>T33+4000</f>
        <v>79500</v>
      </c>
      <c r="V33" s="193">
        <f t="shared" ref="V33:AD33" si="24">U33+4000</f>
        <v>83500</v>
      </c>
      <c r="W33" s="193">
        <f t="shared" si="24"/>
        <v>87500</v>
      </c>
      <c r="X33" s="193">
        <f t="shared" si="24"/>
        <v>91500</v>
      </c>
      <c r="Y33" s="193">
        <f t="shared" si="24"/>
        <v>95500</v>
      </c>
      <c r="Z33" s="193">
        <f t="shared" si="24"/>
        <v>99500</v>
      </c>
      <c r="AA33" s="193">
        <f t="shared" si="24"/>
        <v>103500</v>
      </c>
      <c r="AB33" s="193">
        <f t="shared" si="24"/>
        <v>107500</v>
      </c>
      <c r="AC33" s="193">
        <f t="shared" si="24"/>
        <v>111500</v>
      </c>
      <c r="AD33" s="193">
        <f t="shared" si="24"/>
        <v>115500</v>
      </c>
      <c r="AE33" s="284">
        <f>AD33+4000</f>
        <v>119500</v>
      </c>
    </row>
    <row r="34" spans="2:31" ht="15" thickBot="1">
      <c r="B34" s="151" t="s">
        <v>192</v>
      </c>
      <c r="C34" s="176">
        <v>0.7</v>
      </c>
      <c r="D34" s="148">
        <f>D33*$C$34</f>
        <v>133</v>
      </c>
      <c r="E34" s="148">
        <f t="shared" ref="E34:O34" si="25">E33*$C$34</f>
        <v>133</v>
      </c>
      <c r="F34" s="148">
        <f t="shared" si="25"/>
        <v>133</v>
      </c>
      <c r="G34" s="148">
        <f t="shared" si="25"/>
        <v>133</v>
      </c>
      <c r="H34" s="148">
        <f t="shared" si="25"/>
        <v>133</v>
      </c>
      <c r="I34" s="148">
        <f t="shared" si="25"/>
        <v>133</v>
      </c>
      <c r="J34" s="148">
        <f t="shared" si="25"/>
        <v>133</v>
      </c>
      <c r="K34" s="148">
        <f t="shared" si="25"/>
        <v>133</v>
      </c>
      <c r="L34" s="148">
        <f t="shared" si="25"/>
        <v>133</v>
      </c>
      <c r="M34" s="148">
        <f t="shared" si="25"/>
        <v>133</v>
      </c>
      <c r="N34" s="148">
        <f t="shared" si="25"/>
        <v>133</v>
      </c>
      <c r="O34" s="148">
        <f t="shared" si="25"/>
        <v>133</v>
      </c>
      <c r="P34" s="150">
        <f>SUM(D34:O34)</f>
        <v>1596</v>
      </c>
      <c r="R34" s="194" t="s">
        <v>215</v>
      </c>
      <c r="S34" s="286" t="s">
        <v>306</v>
      </c>
      <c r="T34" s="201">
        <f>AE18*1.1</f>
        <v>208186.81220985175</v>
      </c>
      <c r="U34" s="201">
        <f>T34*1.1</f>
        <v>229005.49343083694</v>
      </c>
      <c r="V34" s="201">
        <f t="shared" ref="V34:AD34" si="26">U34*1.1</f>
        <v>251906.04277392066</v>
      </c>
      <c r="W34" s="201">
        <f t="shared" si="26"/>
        <v>277096.64705131273</v>
      </c>
      <c r="X34" s="201">
        <f t="shared" si="26"/>
        <v>304806.31175644405</v>
      </c>
      <c r="Y34" s="201">
        <f t="shared" si="26"/>
        <v>335286.94293208845</v>
      </c>
      <c r="Z34" s="201">
        <f t="shared" si="26"/>
        <v>368815.63722529734</v>
      </c>
      <c r="AA34" s="201">
        <f t="shared" si="26"/>
        <v>405697.20094782708</v>
      </c>
      <c r="AB34" s="201">
        <f t="shared" si="26"/>
        <v>446266.92104260984</v>
      </c>
      <c r="AC34" s="201">
        <f t="shared" si="26"/>
        <v>490893.61314687086</v>
      </c>
      <c r="AD34" s="201">
        <f t="shared" si="26"/>
        <v>539982.97446155804</v>
      </c>
      <c r="AE34" s="202">
        <f>AD34*1.1</f>
        <v>593981.27190771385</v>
      </c>
    </row>
    <row r="35" spans="2:31">
      <c r="B35" s="151" t="s">
        <v>193</v>
      </c>
      <c r="C35" s="177">
        <v>0.3</v>
      </c>
      <c r="D35" s="148">
        <f>D33*$C$35</f>
        <v>57</v>
      </c>
      <c r="E35" s="148">
        <f t="shared" ref="E35:O35" si="27">E33*$C$35</f>
        <v>57</v>
      </c>
      <c r="F35" s="148">
        <f t="shared" si="27"/>
        <v>57</v>
      </c>
      <c r="G35" s="148">
        <f t="shared" si="27"/>
        <v>57</v>
      </c>
      <c r="H35" s="148">
        <f t="shared" si="27"/>
        <v>57</v>
      </c>
      <c r="I35" s="148">
        <f t="shared" si="27"/>
        <v>57</v>
      </c>
      <c r="J35" s="148">
        <f t="shared" si="27"/>
        <v>57</v>
      </c>
      <c r="K35" s="148">
        <f t="shared" si="27"/>
        <v>57</v>
      </c>
      <c r="L35" s="148">
        <f t="shared" si="27"/>
        <v>57</v>
      </c>
      <c r="M35" s="148">
        <f t="shared" si="27"/>
        <v>57</v>
      </c>
      <c r="N35" s="148">
        <f t="shared" si="27"/>
        <v>57</v>
      </c>
      <c r="O35" s="148">
        <f t="shared" si="27"/>
        <v>57</v>
      </c>
      <c r="P35" s="230">
        <f t="shared" ref="P35:P37" si="28">SUM(D35:O35)</f>
        <v>684</v>
      </c>
    </row>
    <row r="36" spans="2:31">
      <c r="B36" s="151" t="s">
        <v>194</v>
      </c>
      <c r="C36" s="160"/>
      <c r="D36" s="148">
        <v>1</v>
      </c>
      <c r="E36" s="148"/>
      <c r="F36" s="148"/>
      <c r="G36" s="148">
        <v>1</v>
      </c>
      <c r="H36" s="148"/>
      <c r="I36" s="148"/>
      <c r="J36" s="148">
        <v>1</v>
      </c>
      <c r="K36" s="148"/>
      <c r="L36" s="148"/>
      <c r="M36" s="148">
        <v>1</v>
      </c>
      <c r="N36" s="148"/>
      <c r="O36" s="148"/>
      <c r="P36" s="150">
        <f t="shared" si="28"/>
        <v>4</v>
      </c>
    </row>
    <row r="37" spans="2:31">
      <c r="B37" s="147" t="s">
        <v>243</v>
      </c>
      <c r="C37" s="228">
        <v>1</v>
      </c>
      <c r="D37" s="232">
        <f>(SUM(E18:O18,D34)+SUM(D18,N5:O5)*(1-C43))*$C$37</f>
        <v>1517.1</v>
      </c>
      <c r="E37" s="232">
        <f>(SUM(F18:O18,D34:E34)+SUM(D18:E18,N5:O5)*(1-C43))*$C$37</f>
        <v>1645.75</v>
      </c>
      <c r="F37" s="232">
        <f>(SUM(G18:O18,D34:F34)+SUM(N5:O5,D18:F18)*(1-C43))*$C$37</f>
        <v>1774.4</v>
      </c>
      <c r="G37" s="232">
        <f>(SUM(H18:O18,D34:G34)+SUM(D18:G18,N5:O5)*(1-$C$43))*1.5</f>
        <v>2854.5749999999998</v>
      </c>
      <c r="H37" s="232">
        <f>(SUM(I18:O18,D34:H34)+SUM(N5:O5,D18:H18)*(1-$C$43))*$C$37</f>
        <v>2031.6999999999998</v>
      </c>
      <c r="I37" s="232">
        <f>(SUM(J18:O18,D34:I34)+SUM(D18:I18,N5:O5)*(1-$C$43))*$C$37</f>
        <v>2160.35</v>
      </c>
      <c r="J37" s="232">
        <f>(SUM(K18:O18,D34:J34)+SUM(D18:J18,N5:O5)*(1-$C$43))*2</f>
        <v>4578</v>
      </c>
      <c r="K37" s="232">
        <f>(SUM(L18:O18,D34:K34)+SUM(N5:O5,D18:K18)*(1-$C$43))*2</f>
        <v>4835.3</v>
      </c>
      <c r="L37" s="232">
        <f>(SUM(M18:O18,D34:L34)+SUM(D18:L18,N5:O5)*(1-$C$43))*$C$37</f>
        <v>2543.5500000000002</v>
      </c>
      <c r="M37" s="232">
        <f>(SUM(N18:O18,D34:M34)+SUM(N5:O5,D18:M18)*(1-$C$43))*$C$37</f>
        <v>2669.45</v>
      </c>
      <c r="N37" s="232">
        <f>(SUM(O18,D34:N34)+SUM(O5,D18:N18)*(1-C43)+(N5*(1-$C$43)^2))*$C$37</f>
        <v>2791.4074999999998</v>
      </c>
      <c r="O37" s="232">
        <f>(SUM(D34:O34)+SUM(D18:O18)*(1-$C$43)+SUM(N5:O5)*(1-$C$43)^2)*1.5</f>
        <v>4371.9712500000005</v>
      </c>
      <c r="P37" s="230">
        <f t="shared" si="28"/>
        <v>33773.553749999999</v>
      </c>
    </row>
    <row r="38" spans="2:31">
      <c r="B38" s="151" t="s">
        <v>299</v>
      </c>
      <c r="C38" s="161">
        <v>130</v>
      </c>
      <c r="D38" s="154">
        <f>D34*$C$38</f>
        <v>17290</v>
      </c>
      <c r="E38" s="154">
        <f t="shared" ref="E38:O38" si="29">E34*$C$38</f>
        <v>17290</v>
      </c>
      <c r="F38" s="154">
        <f t="shared" si="29"/>
        <v>17290</v>
      </c>
      <c r="G38" s="154">
        <f t="shared" si="29"/>
        <v>17290</v>
      </c>
      <c r="H38" s="154">
        <f t="shared" si="29"/>
        <v>17290</v>
      </c>
      <c r="I38" s="154">
        <f t="shared" si="29"/>
        <v>17290</v>
      </c>
      <c r="J38" s="154">
        <f t="shared" si="29"/>
        <v>17290</v>
      </c>
      <c r="K38" s="154">
        <f t="shared" si="29"/>
        <v>17290</v>
      </c>
      <c r="L38" s="154">
        <f t="shared" si="29"/>
        <v>17290</v>
      </c>
      <c r="M38" s="154">
        <f t="shared" si="29"/>
        <v>17290</v>
      </c>
      <c r="N38" s="154">
        <f t="shared" si="29"/>
        <v>17290</v>
      </c>
      <c r="O38" s="154">
        <f t="shared" si="29"/>
        <v>17290</v>
      </c>
      <c r="P38" s="155">
        <f>SUM(D38:O38)</f>
        <v>207480</v>
      </c>
    </row>
    <row r="39" spans="2:31">
      <c r="B39" s="151" t="s">
        <v>300</v>
      </c>
      <c r="C39" s="161">
        <v>350</v>
      </c>
      <c r="D39" s="154">
        <f>D35*$C$39</f>
        <v>19950</v>
      </c>
      <c r="E39" s="154">
        <f t="shared" ref="E39:O39" si="30">E35*$C$39</f>
        <v>19950</v>
      </c>
      <c r="F39" s="154">
        <f t="shared" si="30"/>
        <v>19950</v>
      </c>
      <c r="G39" s="154">
        <f t="shared" si="30"/>
        <v>19950</v>
      </c>
      <c r="H39" s="154">
        <f t="shared" si="30"/>
        <v>19950</v>
      </c>
      <c r="I39" s="154">
        <f t="shared" si="30"/>
        <v>19950</v>
      </c>
      <c r="J39" s="154">
        <f t="shared" si="30"/>
        <v>19950</v>
      </c>
      <c r="K39" s="154">
        <f t="shared" si="30"/>
        <v>19950</v>
      </c>
      <c r="L39" s="154">
        <f t="shared" si="30"/>
        <v>19950</v>
      </c>
      <c r="M39" s="154">
        <f t="shared" si="30"/>
        <v>19950</v>
      </c>
      <c r="N39" s="154">
        <f t="shared" si="30"/>
        <v>19950</v>
      </c>
      <c r="O39" s="154">
        <f t="shared" si="30"/>
        <v>19950</v>
      </c>
      <c r="P39" s="155">
        <f t="shared" ref="P39:P45" si="31">SUM(D39:O39)</f>
        <v>239400</v>
      </c>
    </row>
    <row r="40" spans="2:31">
      <c r="B40" s="151" t="s">
        <v>195</v>
      </c>
      <c r="C40" s="153">
        <v>7500</v>
      </c>
      <c r="D40" s="154">
        <f>D36*$C$24</f>
        <v>7500</v>
      </c>
      <c r="E40" s="154">
        <f t="shared" ref="E40:O40" si="32">E36*$C$24</f>
        <v>0</v>
      </c>
      <c r="F40" s="154">
        <f t="shared" si="32"/>
        <v>0</v>
      </c>
      <c r="G40" s="154">
        <f t="shared" si="32"/>
        <v>7500</v>
      </c>
      <c r="H40" s="154">
        <f t="shared" si="32"/>
        <v>0</v>
      </c>
      <c r="I40" s="154">
        <f t="shared" si="32"/>
        <v>0</v>
      </c>
      <c r="J40" s="154">
        <f t="shared" si="32"/>
        <v>7500</v>
      </c>
      <c r="K40" s="154">
        <f t="shared" si="32"/>
        <v>0</v>
      </c>
      <c r="L40" s="154">
        <f t="shared" si="32"/>
        <v>0</v>
      </c>
      <c r="M40" s="154">
        <f t="shared" si="32"/>
        <v>7500</v>
      </c>
      <c r="N40" s="154">
        <f t="shared" si="32"/>
        <v>0</v>
      </c>
      <c r="O40" s="154">
        <f t="shared" si="32"/>
        <v>0</v>
      </c>
      <c r="P40" s="155">
        <f t="shared" si="31"/>
        <v>30000</v>
      </c>
    </row>
    <row r="41" spans="2:31">
      <c r="B41" s="225" t="s">
        <v>242</v>
      </c>
      <c r="C41" s="229">
        <v>9.99</v>
      </c>
      <c r="D41" s="231">
        <f>D37*$C$41</f>
        <v>15155.829</v>
      </c>
      <c r="E41" s="231">
        <f t="shared" ref="E41:O41" si="33">E37*$C$41</f>
        <v>16441.0425</v>
      </c>
      <c r="F41" s="231">
        <f t="shared" si="33"/>
        <v>17726.256000000001</v>
      </c>
      <c r="G41" s="231">
        <f t="shared" si="33"/>
        <v>28517.204249999999</v>
      </c>
      <c r="H41" s="231">
        <f t="shared" si="33"/>
        <v>20296.682999999997</v>
      </c>
      <c r="I41" s="231">
        <f t="shared" si="33"/>
        <v>21581.896499999999</v>
      </c>
      <c r="J41" s="231">
        <f t="shared" si="33"/>
        <v>45734.22</v>
      </c>
      <c r="K41" s="231">
        <f t="shared" si="33"/>
        <v>48304.647000000004</v>
      </c>
      <c r="L41" s="231">
        <f t="shared" si="33"/>
        <v>25410.064500000004</v>
      </c>
      <c r="M41" s="231">
        <f t="shared" si="33"/>
        <v>26667.805499999999</v>
      </c>
      <c r="N41" s="231">
        <f t="shared" si="33"/>
        <v>27886.160925</v>
      </c>
      <c r="O41" s="231">
        <f t="shared" si="33"/>
        <v>43675.992787500007</v>
      </c>
      <c r="P41" s="155">
        <f t="shared" si="31"/>
        <v>337397.80196250003</v>
      </c>
    </row>
    <row r="42" spans="2:31">
      <c r="B42" s="156" t="s">
        <v>191</v>
      </c>
      <c r="C42" s="162"/>
      <c r="D42" s="165">
        <f>SUM(D38:D41)</f>
        <v>59895.828999999998</v>
      </c>
      <c r="E42" s="165">
        <f t="shared" ref="E42:O42" si="34">SUM(E38:E41)</f>
        <v>53681.042499999996</v>
      </c>
      <c r="F42" s="165">
        <f t="shared" si="34"/>
        <v>54966.256000000001</v>
      </c>
      <c r="G42" s="165">
        <f t="shared" si="34"/>
        <v>73257.204249999995</v>
      </c>
      <c r="H42" s="165">
        <f t="shared" si="34"/>
        <v>57536.682999999997</v>
      </c>
      <c r="I42" s="165">
        <f t="shared" si="34"/>
        <v>58821.896500000003</v>
      </c>
      <c r="J42" s="165">
        <f t="shared" si="34"/>
        <v>90474.22</v>
      </c>
      <c r="K42" s="165">
        <f t="shared" si="34"/>
        <v>85544.646999999997</v>
      </c>
      <c r="L42" s="165">
        <f t="shared" si="34"/>
        <v>62650.064500000008</v>
      </c>
      <c r="M42" s="165">
        <f t="shared" si="34"/>
        <v>71407.805500000002</v>
      </c>
      <c r="N42" s="165">
        <f t="shared" si="34"/>
        <v>65126.160925000004</v>
      </c>
      <c r="O42" s="165">
        <f t="shared" si="34"/>
        <v>80915.992787499999</v>
      </c>
      <c r="P42" s="157">
        <f t="shared" si="31"/>
        <v>814277.80196249997</v>
      </c>
    </row>
    <row r="43" spans="2:31">
      <c r="B43" s="151" t="s">
        <v>197</v>
      </c>
      <c r="C43" s="163">
        <v>0.05</v>
      </c>
      <c r="D43" s="164">
        <f>D27*(1-$C$43)</f>
        <v>0</v>
      </c>
      <c r="E43" s="164">
        <f t="shared" ref="E43:M43" si="35">E27*(1-$C$43)</f>
        <v>0</v>
      </c>
      <c r="F43" s="164">
        <f t="shared" si="35"/>
        <v>0</v>
      </c>
      <c r="G43" s="164">
        <f t="shared" si="35"/>
        <v>0</v>
      </c>
      <c r="H43" s="164">
        <f t="shared" si="35"/>
        <v>0</v>
      </c>
      <c r="I43" s="164">
        <f t="shared" si="35"/>
        <v>0</v>
      </c>
      <c r="J43" s="164">
        <f t="shared" si="35"/>
        <v>0</v>
      </c>
      <c r="K43" s="164">
        <f t="shared" si="35"/>
        <v>0</v>
      </c>
      <c r="L43" s="164">
        <f t="shared" si="35"/>
        <v>0</v>
      </c>
      <c r="M43" s="164">
        <f t="shared" si="35"/>
        <v>0</v>
      </c>
      <c r="N43" s="164">
        <f>N27*(1-$C$43)</f>
        <v>13838.934999999999</v>
      </c>
      <c r="O43" s="164">
        <f>O27*(1-$C$43)</f>
        <v>9311.9950000000008</v>
      </c>
      <c r="P43" s="171">
        <f t="shared" si="31"/>
        <v>23150.93</v>
      </c>
    </row>
    <row r="44" spans="2:31">
      <c r="B44" s="151" t="s">
        <v>302</v>
      </c>
      <c r="C44" s="163">
        <v>0.05</v>
      </c>
      <c r="D44" s="182">
        <f>(D26-D25)*(1-$C$44)*1.1</f>
        <v>17955.712500000001</v>
      </c>
      <c r="E44" s="182">
        <f t="shared" ref="E44:O44" si="36">(E26-E25)*(1-$C$44)*1.1</f>
        <v>19774.012500000001</v>
      </c>
      <c r="F44" s="182">
        <f t="shared" si="36"/>
        <v>19774.012500000001</v>
      </c>
      <c r="G44" s="182">
        <f t="shared" si="36"/>
        <v>27611.512500000001</v>
      </c>
      <c r="H44" s="182">
        <f t="shared" si="36"/>
        <v>19774.012500000001</v>
      </c>
      <c r="I44" s="182">
        <f t="shared" si="36"/>
        <v>19774.012500000001</v>
      </c>
      <c r="J44" s="182">
        <f t="shared" si="36"/>
        <v>27611.512499999997</v>
      </c>
      <c r="K44" s="182">
        <f t="shared" si="36"/>
        <v>19774.012500000001</v>
      </c>
      <c r="L44" s="182">
        <f t="shared" si="36"/>
        <v>32274.825000000004</v>
      </c>
      <c r="M44" s="182">
        <f t="shared" si="36"/>
        <v>40112.325000000004</v>
      </c>
      <c r="N44" s="182">
        <f t="shared" si="36"/>
        <v>32274.825000000004</v>
      </c>
      <c r="O44" s="182">
        <f t="shared" si="36"/>
        <v>32274.825000000008</v>
      </c>
      <c r="P44" s="182">
        <f t="shared" si="31"/>
        <v>308985.60000000003</v>
      </c>
    </row>
    <row r="45" spans="2:31">
      <c r="B45" s="156" t="s">
        <v>198</v>
      </c>
      <c r="C45" s="162"/>
      <c r="D45" s="165">
        <f>SUM(D43:D44)</f>
        <v>17955.712500000001</v>
      </c>
      <c r="E45" s="165">
        <f t="shared" ref="E45:O45" si="37">SUM(E43:E44)</f>
        <v>19774.012500000001</v>
      </c>
      <c r="F45" s="165">
        <f t="shared" si="37"/>
        <v>19774.012500000001</v>
      </c>
      <c r="G45" s="165">
        <f t="shared" si="37"/>
        <v>27611.512500000001</v>
      </c>
      <c r="H45" s="165">
        <f t="shared" si="37"/>
        <v>19774.012500000001</v>
      </c>
      <c r="I45" s="165">
        <f t="shared" si="37"/>
        <v>19774.012500000001</v>
      </c>
      <c r="J45" s="165">
        <f t="shared" si="37"/>
        <v>27611.512499999997</v>
      </c>
      <c r="K45" s="165">
        <f t="shared" si="37"/>
        <v>19774.012500000001</v>
      </c>
      <c r="L45" s="165">
        <f t="shared" si="37"/>
        <v>32274.825000000004</v>
      </c>
      <c r="M45" s="165">
        <f t="shared" si="37"/>
        <v>40112.325000000004</v>
      </c>
      <c r="N45" s="165">
        <f t="shared" si="37"/>
        <v>46113.760000000002</v>
      </c>
      <c r="O45" s="165">
        <f t="shared" si="37"/>
        <v>41586.820000000007</v>
      </c>
      <c r="P45" s="157">
        <f t="shared" si="31"/>
        <v>332136.53000000003</v>
      </c>
    </row>
    <row r="46" spans="2:31" ht="15" thickBot="1">
      <c r="B46" s="158" t="s">
        <v>199</v>
      </c>
      <c r="C46" s="166"/>
      <c r="D46" s="167">
        <f>SUM(D42,D45)</f>
        <v>77851.541499999992</v>
      </c>
      <c r="E46" s="167">
        <f t="shared" ref="E46:O46" si="38">SUM(E42,E45)</f>
        <v>73455.054999999993</v>
      </c>
      <c r="F46" s="167">
        <f t="shared" si="38"/>
        <v>74740.268500000006</v>
      </c>
      <c r="G46" s="167">
        <f t="shared" si="38"/>
        <v>100868.71674999999</v>
      </c>
      <c r="H46" s="167">
        <f t="shared" si="38"/>
        <v>77310.695500000002</v>
      </c>
      <c r="I46" s="167">
        <f t="shared" si="38"/>
        <v>78595.909</v>
      </c>
      <c r="J46" s="167">
        <f t="shared" si="38"/>
        <v>118085.7325</v>
      </c>
      <c r="K46" s="167">
        <f t="shared" si="38"/>
        <v>105318.65949999999</v>
      </c>
      <c r="L46" s="167">
        <f t="shared" si="38"/>
        <v>94924.889500000019</v>
      </c>
      <c r="M46" s="167">
        <f t="shared" si="38"/>
        <v>111520.1305</v>
      </c>
      <c r="N46" s="167">
        <f t="shared" si="38"/>
        <v>111239.92092500001</v>
      </c>
      <c r="O46" s="167">
        <f t="shared" si="38"/>
        <v>122502.81278750001</v>
      </c>
      <c r="P46" s="168">
        <f>SUM(D46:O46)</f>
        <v>1146414.3319625</v>
      </c>
    </row>
    <row r="48" spans="2:31" ht="15" thickBot="1"/>
    <row r="49" spans="2:16">
      <c r="B49" s="306" t="s">
        <v>271</v>
      </c>
      <c r="C49" s="307"/>
      <c r="D49" s="310" t="s">
        <v>174</v>
      </c>
      <c r="E49" s="311"/>
      <c r="F49" s="311"/>
      <c r="G49" s="311" t="s">
        <v>175</v>
      </c>
      <c r="H49" s="311"/>
      <c r="I49" s="311"/>
      <c r="J49" s="311" t="s">
        <v>176</v>
      </c>
      <c r="K49" s="311"/>
      <c r="L49" s="311"/>
      <c r="M49" s="311" t="s">
        <v>177</v>
      </c>
      <c r="N49" s="311"/>
      <c r="O49" s="311"/>
      <c r="P49" s="312" t="s">
        <v>244</v>
      </c>
    </row>
    <row r="50" spans="2:16" ht="15" thickBot="1">
      <c r="B50" s="308"/>
      <c r="C50" s="309"/>
      <c r="D50" s="233" t="s">
        <v>179</v>
      </c>
      <c r="E50" s="234" t="s">
        <v>180</v>
      </c>
      <c r="F50" s="234" t="s">
        <v>181</v>
      </c>
      <c r="G50" s="234" t="s">
        <v>182</v>
      </c>
      <c r="H50" s="234" t="s">
        <v>183</v>
      </c>
      <c r="I50" s="234" t="s">
        <v>184</v>
      </c>
      <c r="J50" s="234" t="s">
        <v>185</v>
      </c>
      <c r="K50" s="234" t="s">
        <v>186</v>
      </c>
      <c r="L50" s="234" t="s">
        <v>187</v>
      </c>
      <c r="M50" s="234" t="s">
        <v>188</v>
      </c>
      <c r="N50" s="234" t="s">
        <v>189</v>
      </c>
      <c r="O50" s="234" t="s">
        <v>190</v>
      </c>
      <c r="P50" s="313"/>
    </row>
    <row r="51" spans="2:16">
      <c r="B51" s="302">
        <v>2018</v>
      </c>
      <c r="C51" s="303"/>
      <c r="D51" s="235">
        <f t="shared" ref="D51:O51" si="39">SUM(D52:D53)</f>
        <v>0</v>
      </c>
      <c r="E51" s="235">
        <f t="shared" si="39"/>
        <v>0</v>
      </c>
      <c r="F51" s="235">
        <f t="shared" si="39"/>
        <v>0</v>
      </c>
      <c r="G51" s="235">
        <f t="shared" si="39"/>
        <v>0</v>
      </c>
      <c r="H51" s="235">
        <f t="shared" si="39"/>
        <v>0</v>
      </c>
      <c r="I51" s="235">
        <f t="shared" si="39"/>
        <v>0</v>
      </c>
      <c r="J51" s="235">
        <f t="shared" si="39"/>
        <v>0</v>
      </c>
      <c r="K51" s="235">
        <f t="shared" si="39"/>
        <v>0</v>
      </c>
      <c r="L51" s="235">
        <f t="shared" si="39"/>
        <v>0</v>
      </c>
      <c r="M51" s="235">
        <f t="shared" si="39"/>
        <v>0</v>
      </c>
      <c r="N51" s="235">
        <f t="shared" si="39"/>
        <v>1161.6666666666667</v>
      </c>
      <c r="O51" s="235">
        <f t="shared" si="39"/>
        <v>1943.3333333333335</v>
      </c>
      <c r="P51" s="236">
        <f>SUM(D51:O51)</f>
        <v>3105</v>
      </c>
    </row>
    <row r="52" spans="2:16" hidden="1" outlineLevel="1">
      <c r="B52" s="295" t="s">
        <v>245</v>
      </c>
      <c r="C52" s="294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>
        <f>SUM($N$9:$N$11)/12</f>
        <v>1161.6666666666667</v>
      </c>
      <c r="O52" s="223">
        <f>SUM($N$9:$N$11)/12</f>
        <v>1161.6666666666667</v>
      </c>
      <c r="P52" s="224">
        <f t="shared" ref="P52:P91" si="40">SUM(D52:O52)</f>
        <v>2323.3333333333335</v>
      </c>
    </row>
    <row r="53" spans="2:16" hidden="1" outlineLevel="1">
      <c r="B53" s="295" t="s">
        <v>246</v>
      </c>
      <c r="C53" s="294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>
        <f>SUM($O$9:$O$11)/12</f>
        <v>781.66666666666663</v>
      </c>
      <c r="P53" s="224">
        <f t="shared" si="40"/>
        <v>781.66666666666663</v>
      </c>
    </row>
    <row r="54" spans="2:16" collapsed="1">
      <c r="B54" s="300">
        <v>2019</v>
      </c>
      <c r="C54" s="301"/>
      <c r="D54" s="235">
        <f t="shared" ref="D54:O54" si="41">SUM(D55:D68)</f>
        <v>3375.2083333333335</v>
      </c>
      <c r="E54" s="235">
        <f t="shared" si="41"/>
        <v>4952.0833333333339</v>
      </c>
      <c r="F54" s="235">
        <f t="shared" si="41"/>
        <v>6528.9583333333339</v>
      </c>
      <c r="G54" s="235">
        <f t="shared" si="41"/>
        <v>8730.8333333333339</v>
      </c>
      <c r="H54" s="235">
        <f t="shared" si="41"/>
        <v>10307.708333333334</v>
      </c>
      <c r="I54" s="235">
        <f t="shared" si="41"/>
        <v>11884.583333333334</v>
      </c>
      <c r="J54" s="235">
        <f t="shared" si="41"/>
        <v>14086.458333333334</v>
      </c>
      <c r="K54" s="235">
        <f t="shared" si="41"/>
        <v>15663.333333333334</v>
      </c>
      <c r="L54" s="235">
        <f t="shared" si="41"/>
        <v>18237.083333333336</v>
      </c>
      <c r="M54" s="235">
        <f t="shared" si="41"/>
        <v>21435.833333333336</v>
      </c>
      <c r="N54" s="235">
        <f t="shared" si="41"/>
        <v>24061.85833333333</v>
      </c>
      <c r="O54" s="235">
        <f t="shared" si="41"/>
        <v>26670.783333333333</v>
      </c>
      <c r="P54" s="236">
        <f t="shared" si="40"/>
        <v>165934.72500000001</v>
      </c>
    </row>
    <row r="55" spans="2:16" hidden="1" outlineLevel="1">
      <c r="B55" s="295" t="s">
        <v>245</v>
      </c>
      <c r="C55" s="294"/>
      <c r="D55" s="223">
        <f>SUM($N$9:$N$11)/12</f>
        <v>1161.6666666666667</v>
      </c>
      <c r="E55" s="223">
        <f t="shared" ref="E55:M55" si="42">SUM($N$9:$N$11)/12</f>
        <v>1161.6666666666667</v>
      </c>
      <c r="F55" s="223">
        <f t="shared" si="42"/>
        <v>1161.6666666666667</v>
      </c>
      <c r="G55" s="223">
        <f t="shared" si="42"/>
        <v>1161.6666666666667</v>
      </c>
      <c r="H55" s="223">
        <f t="shared" si="42"/>
        <v>1161.6666666666667</v>
      </c>
      <c r="I55" s="223">
        <f t="shared" si="42"/>
        <v>1161.6666666666667</v>
      </c>
      <c r="J55" s="223">
        <f t="shared" si="42"/>
        <v>1161.6666666666667</v>
      </c>
      <c r="K55" s="223">
        <f t="shared" si="42"/>
        <v>1161.6666666666667</v>
      </c>
      <c r="L55" s="223">
        <f t="shared" si="42"/>
        <v>1161.6666666666667</v>
      </c>
      <c r="M55" s="223">
        <f t="shared" si="42"/>
        <v>1161.6666666666667</v>
      </c>
      <c r="N55" s="75"/>
      <c r="O55" s="223"/>
      <c r="P55" s="224">
        <f t="shared" si="40"/>
        <v>11616.666666666666</v>
      </c>
    </row>
    <row r="56" spans="2:16" hidden="1" outlineLevel="1">
      <c r="B56" s="295" t="s">
        <v>246</v>
      </c>
      <c r="C56" s="294"/>
      <c r="D56" s="223">
        <f>SUM($O$9:$O$11)/12</f>
        <v>781.66666666666663</v>
      </c>
      <c r="E56" s="223">
        <f t="shared" ref="E56:N56" si="43">SUM($O$9:$O$11)/12</f>
        <v>781.66666666666663</v>
      </c>
      <c r="F56" s="223">
        <f t="shared" si="43"/>
        <v>781.66666666666663</v>
      </c>
      <c r="G56" s="223">
        <f t="shared" si="43"/>
        <v>781.66666666666663</v>
      </c>
      <c r="H56" s="223">
        <f t="shared" si="43"/>
        <v>781.66666666666663</v>
      </c>
      <c r="I56" s="223">
        <f t="shared" si="43"/>
        <v>781.66666666666663</v>
      </c>
      <c r="J56" s="223">
        <f t="shared" si="43"/>
        <v>781.66666666666663</v>
      </c>
      <c r="K56" s="223">
        <f t="shared" si="43"/>
        <v>781.66666666666663</v>
      </c>
      <c r="L56" s="223">
        <f t="shared" si="43"/>
        <v>781.66666666666663</v>
      </c>
      <c r="M56" s="223">
        <f t="shared" si="43"/>
        <v>781.66666666666663</v>
      </c>
      <c r="N56" s="223">
        <f t="shared" si="43"/>
        <v>781.66666666666663</v>
      </c>
      <c r="O56" s="75"/>
      <c r="P56" s="224">
        <f t="shared" si="40"/>
        <v>8598.3333333333339</v>
      </c>
    </row>
    <row r="57" spans="2:16" hidden="1" outlineLevel="1">
      <c r="B57" s="295" t="s">
        <v>247</v>
      </c>
      <c r="C57" s="294"/>
      <c r="D57" s="237">
        <f>SUM($D$22:$D$24,$D$27)/12</f>
        <v>1431.875</v>
      </c>
      <c r="E57" s="237">
        <f>SUM($D$22:$D$24,$D$27)/12</f>
        <v>1431.875</v>
      </c>
      <c r="F57" s="237">
        <f t="shared" ref="F57:O57" si="44">SUM($D$22:$D$24,$D$27)/12</f>
        <v>1431.875</v>
      </c>
      <c r="G57" s="237">
        <f t="shared" si="44"/>
        <v>1431.875</v>
      </c>
      <c r="H57" s="237">
        <f t="shared" si="44"/>
        <v>1431.875</v>
      </c>
      <c r="I57" s="237">
        <f t="shared" si="44"/>
        <v>1431.875</v>
      </c>
      <c r="J57" s="237">
        <f t="shared" si="44"/>
        <v>1431.875</v>
      </c>
      <c r="K57" s="237">
        <f t="shared" si="44"/>
        <v>1431.875</v>
      </c>
      <c r="L57" s="237">
        <f t="shared" si="44"/>
        <v>1431.875</v>
      </c>
      <c r="M57" s="237">
        <f t="shared" si="44"/>
        <v>1431.875</v>
      </c>
      <c r="N57" s="237">
        <f t="shared" si="44"/>
        <v>1431.875</v>
      </c>
      <c r="O57" s="237">
        <f t="shared" si="44"/>
        <v>1431.875</v>
      </c>
      <c r="P57" s="224">
        <f t="shared" si="40"/>
        <v>17182.5</v>
      </c>
    </row>
    <row r="58" spans="2:16" hidden="1" outlineLevel="1">
      <c r="B58" s="295" t="s">
        <v>248</v>
      </c>
      <c r="C58" s="294"/>
      <c r="D58" s="237"/>
      <c r="E58" s="237">
        <f>SUM($E$22:$E$24,$E$27)/12</f>
        <v>1576.875</v>
      </c>
      <c r="F58" s="237">
        <f>SUM($E$22:$E$24,$E$27)/12</f>
        <v>1576.875</v>
      </c>
      <c r="G58" s="237">
        <f t="shared" ref="G58:O58" si="45">SUM($E$22:$E$24,$E$27)/12</f>
        <v>1576.875</v>
      </c>
      <c r="H58" s="237">
        <f t="shared" si="45"/>
        <v>1576.875</v>
      </c>
      <c r="I58" s="237">
        <f t="shared" si="45"/>
        <v>1576.875</v>
      </c>
      <c r="J58" s="237">
        <f t="shared" si="45"/>
        <v>1576.875</v>
      </c>
      <c r="K58" s="237">
        <f t="shared" si="45"/>
        <v>1576.875</v>
      </c>
      <c r="L58" s="237">
        <f t="shared" si="45"/>
        <v>1576.875</v>
      </c>
      <c r="M58" s="237">
        <f t="shared" si="45"/>
        <v>1576.875</v>
      </c>
      <c r="N58" s="237">
        <f t="shared" si="45"/>
        <v>1576.875</v>
      </c>
      <c r="O58" s="237">
        <f t="shared" si="45"/>
        <v>1576.875</v>
      </c>
      <c r="P58" s="224">
        <f t="shared" si="40"/>
        <v>17345.625</v>
      </c>
    </row>
    <row r="59" spans="2:16" hidden="1" outlineLevel="1">
      <c r="B59" s="295" t="s">
        <v>249</v>
      </c>
      <c r="C59" s="294"/>
      <c r="D59" s="237"/>
      <c r="E59" s="237"/>
      <c r="F59" s="237">
        <f>SUM($F$22:$F$24,$F$27)/12</f>
        <v>1576.875</v>
      </c>
      <c r="G59" s="237">
        <f>SUM($F$22:$F$24,$F$27)/12</f>
        <v>1576.875</v>
      </c>
      <c r="H59" s="237">
        <f t="shared" ref="H59:O59" si="46">SUM($F$22:$F$24,$F$27)/12</f>
        <v>1576.875</v>
      </c>
      <c r="I59" s="237">
        <f t="shared" si="46"/>
        <v>1576.875</v>
      </c>
      <c r="J59" s="237">
        <f t="shared" si="46"/>
        <v>1576.875</v>
      </c>
      <c r="K59" s="237">
        <f t="shared" si="46"/>
        <v>1576.875</v>
      </c>
      <c r="L59" s="237">
        <f t="shared" si="46"/>
        <v>1576.875</v>
      </c>
      <c r="M59" s="237">
        <f t="shared" si="46"/>
        <v>1576.875</v>
      </c>
      <c r="N59" s="237">
        <f t="shared" si="46"/>
        <v>1576.875</v>
      </c>
      <c r="O59" s="237">
        <f t="shared" si="46"/>
        <v>1576.875</v>
      </c>
      <c r="P59" s="224">
        <f t="shared" si="40"/>
        <v>15768.75</v>
      </c>
    </row>
    <row r="60" spans="2:16" hidden="1" outlineLevel="1">
      <c r="B60" s="295" t="s">
        <v>250</v>
      </c>
      <c r="C60" s="294"/>
      <c r="D60" s="237"/>
      <c r="E60" s="237"/>
      <c r="F60" s="237"/>
      <c r="G60" s="237">
        <f>SUM($G$22:$G$24,$G$27)/12</f>
        <v>2201.875</v>
      </c>
      <c r="H60" s="237">
        <f>SUM($G$22:$G$24,$G$27)/12</f>
        <v>2201.875</v>
      </c>
      <c r="I60" s="237">
        <f t="shared" ref="I60:O60" si="47">SUM($G$22:$G$24,$G$27)/12</f>
        <v>2201.875</v>
      </c>
      <c r="J60" s="237">
        <f t="shared" si="47"/>
        <v>2201.875</v>
      </c>
      <c r="K60" s="237">
        <f t="shared" si="47"/>
        <v>2201.875</v>
      </c>
      <c r="L60" s="237">
        <f t="shared" si="47"/>
        <v>2201.875</v>
      </c>
      <c r="M60" s="237">
        <f t="shared" si="47"/>
        <v>2201.875</v>
      </c>
      <c r="N60" s="237">
        <f t="shared" si="47"/>
        <v>2201.875</v>
      </c>
      <c r="O60" s="237">
        <f t="shared" si="47"/>
        <v>2201.875</v>
      </c>
      <c r="P60" s="224">
        <f t="shared" si="40"/>
        <v>19816.875</v>
      </c>
    </row>
    <row r="61" spans="2:16" hidden="1" outlineLevel="1">
      <c r="B61" s="295" t="s">
        <v>251</v>
      </c>
      <c r="C61" s="294"/>
      <c r="D61" s="237"/>
      <c r="E61" s="237"/>
      <c r="F61" s="237"/>
      <c r="G61" s="237"/>
      <c r="H61" s="237">
        <f>SUM($H$22:$H$24,$H$27)/12</f>
        <v>1576.875</v>
      </c>
      <c r="I61" s="237">
        <f>SUM($H$22:$H$24,$H$27)/12</f>
        <v>1576.875</v>
      </c>
      <c r="J61" s="237">
        <f t="shared" ref="J61:O61" si="48">SUM($H$22:$H$24,$H$27)/12</f>
        <v>1576.875</v>
      </c>
      <c r="K61" s="237">
        <f t="shared" si="48"/>
        <v>1576.875</v>
      </c>
      <c r="L61" s="237">
        <f t="shared" si="48"/>
        <v>1576.875</v>
      </c>
      <c r="M61" s="237">
        <f t="shared" si="48"/>
        <v>1576.875</v>
      </c>
      <c r="N61" s="237">
        <f t="shared" si="48"/>
        <v>1576.875</v>
      </c>
      <c r="O61" s="237">
        <f t="shared" si="48"/>
        <v>1576.875</v>
      </c>
      <c r="P61" s="224">
        <f t="shared" si="40"/>
        <v>12615</v>
      </c>
    </row>
    <row r="62" spans="2:16" hidden="1" outlineLevel="1">
      <c r="B62" s="295" t="s">
        <v>252</v>
      </c>
      <c r="C62" s="294"/>
      <c r="D62" s="237"/>
      <c r="E62" s="237"/>
      <c r="F62" s="237"/>
      <c r="G62" s="237"/>
      <c r="H62" s="237"/>
      <c r="I62" s="237">
        <f>SUM($I$22:$I$24,$I$27)/12</f>
        <v>1576.875</v>
      </c>
      <c r="J62" s="237">
        <f>SUM($I$22:$I$24,$I$27)/12</f>
        <v>1576.875</v>
      </c>
      <c r="K62" s="237">
        <f t="shared" ref="K62:O62" si="49">SUM($I$22:$I$24,$I$27)/12</f>
        <v>1576.875</v>
      </c>
      <c r="L62" s="237">
        <f t="shared" si="49"/>
        <v>1576.875</v>
      </c>
      <c r="M62" s="237">
        <f t="shared" si="49"/>
        <v>1576.875</v>
      </c>
      <c r="N62" s="237">
        <f t="shared" si="49"/>
        <v>1576.875</v>
      </c>
      <c r="O62" s="237">
        <f t="shared" si="49"/>
        <v>1576.875</v>
      </c>
      <c r="P62" s="224">
        <f t="shared" si="40"/>
        <v>11038.125</v>
      </c>
    </row>
    <row r="63" spans="2:16" hidden="1" outlineLevel="1">
      <c r="B63" s="295" t="s">
        <v>253</v>
      </c>
      <c r="C63" s="294"/>
      <c r="D63" s="237"/>
      <c r="E63" s="237"/>
      <c r="F63" s="237"/>
      <c r="G63" s="237"/>
      <c r="H63" s="237"/>
      <c r="I63" s="237"/>
      <c r="J63" s="237">
        <f>SUM($J$22:$J$24,$J$27)/12</f>
        <v>2201.875</v>
      </c>
      <c r="K63" s="237">
        <f>SUM($J$22:$J$24,$J$27)/12</f>
        <v>2201.875</v>
      </c>
      <c r="L63" s="237">
        <f t="shared" ref="L63:O63" si="50">SUM($J$22:$J$24)/12</f>
        <v>2201.875</v>
      </c>
      <c r="M63" s="237">
        <f t="shared" si="50"/>
        <v>2201.875</v>
      </c>
      <c r="N63" s="237">
        <f t="shared" si="50"/>
        <v>2201.875</v>
      </c>
      <c r="O63" s="237">
        <f t="shared" si="50"/>
        <v>2201.875</v>
      </c>
      <c r="P63" s="224">
        <f t="shared" si="40"/>
        <v>13211.25</v>
      </c>
    </row>
    <row r="64" spans="2:16" hidden="1" outlineLevel="1">
      <c r="B64" s="295" t="s">
        <v>254</v>
      </c>
      <c r="C64" s="294"/>
      <c r="D64" s="237"/>
      <c r="E64" s="237"/>
      <c r="F64" s="237"/>
      <c r="G64" s="237"/>
      <c r="H64" s="237"/>
      <c r="I64" s="237"/>
      <c r="J64" s="237"/>
      <c r="K64" s="237">
        <f>SUM($K$22:$K$24,$K$27)/12</f>
        <v>1576.875</v>
      </c>
      <c r="L64" s="237">
        <f t="shared" ref="L64:O64" si="51">SUM($K$22:$K$24,$K$27)/12</f>
        <v>1576.875</v>
      </c>
      <c r="M64" s="237">
        <f t="shared" si="51"/>
        <v>1576.875</v>
      </c>
      <c r="N64" s="237">
        <f t="shared" si="51"/>
        <v>1576.875</v>
      </c>
      <c r="O64" s="237">
        <f t="shared" si="51"/>
        <v>1576.875</v>
      </c>
      <c r="P64" s="224">
        <f t="shared" si="40"/>
        <v>7884.375</v>
      </c>
    </row>
    <row r="65" spans="2:16" hidden="1" outlineLevel="1">
      <c r="B65" s="295" t="s">
        <v>255</v>
      </c>
      <c r="C65" s="294"/>
      <c r="D65" s="237"/>
      <c r="E65" s="237"/>
      <c r="F65" s="237"/>
      <c r="G65" s="237"/>
      <c r="H65" s="237"/>
      <c r="I65" s="237"/>
      <c r="J65" s="237"/>
      <c r="K65" s="237"/>
      <c r="L65" s="237">
        <f>SUM($L$22:$L$24,$L$27)/12</f>
        <v>2573.75</v>
      </c>
      <c r="M65" s="237">
        <f t="shared" ref="M65:O65" si="52">SUM($L$22:$L$24,$L$27)/12</f>
        <v>2573.75</v>
      </c>
      <c r="N65" s="237">
        <f t="shared" si="52"/>
        <v>2573.75</v>
      </c>
      <c r="O65" s="237">
        <f t="shared" si="52"/>
        <v>2573.75</v>
      </c>
      <c r="P65" s="224">
        <f t="shared" si="40"/>
        <v>10295</v>
      </c>
    </row>
    <row r="66" spans="2:16" hidden="1" outlineLevel="1">
      <c r="B66" s="295" t="s">
        <v>256</v>
      </c>
      <c r="C66" s="294"/>
      <c r="D66" s="237"/>
      <c r="E66" s="237"/>
      <c r="F66" s="237"/>
      <c r="G66" s="237"/>
      <c r="H66" s="237"/>
      <c r="I66" s="237"/>
      <c r="J66" s="237"/>
      <c r="K66" s="237"/>
      <c r="L66" s="237"/>
      <c r="M66" s="237">
        <f>SUM($M$22:$M$24,$M$27)/12</f>
        <v>3198.75</v>
      </c>
      <c r="N66" s="237">
        <f t="shared" ref="N66:O66" si="53">SUM($M$22:$M$24,$M$27)/12</f>
        <v>3198.75</v>
      </c>
      <c r="O66" s="237">
        <f t="shared" si="53"/>
        <v>3198.75</v>
      </c>
      <c r="P66" s="224">
        <f t="shared" si="40"/>
        <v>9596.25</v>
      </c>
    </row>
    <row r="67" spans="2:16" hidden="1" outlineLevel="1">
      <c r="B67" s="295" t="s">
        <v>257</v>
      </c>
      <c r="C67" s="294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>
        <f>SUM($N$22:$N$24,$N$27)/12</f>
        <v>3787.6916666666671</v>
      </c>
      <c r="O67" s="237">
        <f>SUM($N$22:$N$24,$N$27)/12</f>
        <v>3787.6916666666671</v>
      </c>
      <c r="P67" s="224">
        <f t="shared" si="40"/>
        <v>7575.3833333333341</v>
      </c>
    </row>
    <row r="68" spans="2:16" hidden="1" outlineLevel="1">
      <c r="B68" s="295" t="s">
        <v>258</v>
      </c>
      <c r="C68" s="294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>
        <f>SUM($O$22:$O$24,$O$27)/12</f>
        <v>3390.5916666666667</v>
      </c>
      <c r="P68" s="224">
        <f t="shared" si="40"/>
        <v>3390.5916666666667</v>
      </c>
    </row>
    <row r="69" spans="2:16" ht="15" collapsed="1" thickBot="1">
      <c r="B69" s="296">
        <v>2020</v>
      </c>
      <c r="C69" s="297"/>
      <c r="D69" s="238">
        <f>SUM(D70:D92)</f>
        <v>30463.551041666666</v>
      </c>
      <c r="E69" s="238">
        <f t="shared" ref="E69:N69" si="54">SUM(E70:E92)</f>
        <v>33637.84375</v>
      </c>
      <c r="F69" s="238">
        <f t="shared" si="54"/>
        <v>36812.136458333334</v>
      </c>
      <c r="G69" s="238">
        <f t="shared" si="54"/>
        <v>40639.554166666669</v>
      </c>
      <c r="H69" s="238">
        <f t="shared" si="54"/>
        <v>43813.846875000003</v>
      </c>
      <c r="I69" s="238">
        <f t="shared" si="54"/>
        <v>46988.139583333337</v>
      </c>
      <c r="J69" s="238">
        <f t="shared" si="54"/>
        <v>50815.557291666672</v>
      </c>
      <c r="K69" s="238">
        <f t="shared" si="54"/>
        <v>53989.850000000006</v>
      </c>
      <c r="L69" s="238">
        <f>SUM(L70:L92)</f>
        <v>57209.00208333334</v>
      </c>
      <c r="M69" s="238">
        <f t="shared" si="54"/>
        <v>61081.279166666674</v>
      </c>
      <c r="N69" s="238">
        <f t="shared" si="54"/>
        <v>64239.734166666676</v>
      </c>
      <c r="O69" s="238">
        <f>SUM(O70:O92)</f>
        <v>67418.044166666674</v>
      </c>
      <c r="P69" s="246">
        <f t="shared" si="40"/>
        <v>587108.53875000007</v>
      </c>
    </row>
    <row r="70" spans="2:16" hidden="1" outlineLevel="1">
      <c r="B70" s="298" t="s">
        <v>248</v>
      </c>
      <c r="C70" s="299"/>
      <c r="D70" s="244">
        <f t="shared" ref="D70" si="55">SUM($E$22:$E$24,$E$27)/12</f>
        <v>1576.875</v>
      </c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45">
        <f t="shared" si="40"/>
        <v>1576.875</v>
      </c>
    </row>
    <row r="71" spans="2:16" hidden="1" outlineLevel="1">
      <c r="B71" s="293" t="s">
        <v>249</v>
      </c>
      <c r="C71" s="294"/>
      <c r="D71" s="237">
        <f>SUM($F$22:$F$24,$F$27)/12</f>
        <v>1576.875</v>
      </c>
      <c r="E71" s="237">
        <f>SUM($F$22:$F$24,$F$27)/12</f>
        <v>1576.875</v>
      </c>
      <c r="G71" s="240"/>
      <c r="H71" s="240"/>
      <c r="I71" s="240"/>
      <c r="J71" s="240"/>
      <c r="K71" s="240"/>
      <c r="L71" s="240"/>
      <c r="M71" s="240"/>
      <c r="N71" s="240"/>
      <c r="O71" s="240"/>
      <c r="P71" s="224">
        <f t="shared" si="40"/>
        <v>3153.75</v>
      </c>
    </row>
    <row r="72" spans="2:16" hidden="1" outlineLevel="1">
      <c r="B72" s="293" t="s">
        <v>250</v>
      </c>
      <c r="C72" s="294"/>
      <c r="D72" s="237">
        <f>SUM($G$22:$G$24,$G$27)/12</f>
        <v>2201.875</v>
      </c>
      <c r="E72" s="237">
        <f>SUM($G$22:$G$24,$G$27)/12</f>
        <v>2201.875</v>
      </c>
      <c r="F72" s="237">
        <f>SUM($G$22:$G$24,$G$27)/12</f>
        <v>2201.875</v>
      </c>
      <c r="H72" s="240"/>
      <c r="I72" s="240"/>
      <c r="J72" s="240"/>
      <c r="K72" s="240"/>
      <c r="L72" s="240"/>
      <c r="M72" s="240"/>
      <c r="N72" s="240"/>
      <c r="O72" s="240"/>
      <c r="P72" s="224">
        <f t="shared" si="40"/>
        <v>6605.625</v>
      </c>
    </row>
    <row r="73" spans="2:16" hidden="1" outlineLevel="1">
      <c r="B73" s="293" t="s">
        <v>251</v>
      </c>
      <c r="C73" s="294"/>
      <c r="D73" s="237">
        <f>SUM($H$22:$H$24,$H$27)/12</f>
        <v>1576.875</v>
      </c>
      <c r="E73" s="237">
        <f>SUM($H$22:$H$24,$H$27)/12</f>
        <v>1576.875</v>
      </c>
      <c r="F73" s="237">
        <f>SUM($H$22:$H$24,$H$27)/12</f>
        <v>1576.875</v>
      </c>
      <c r="G73" s="237">
        <f>SUM($H$22:$H$24,$H$27)/12</f>
        <v>1576.875</v>
      </c>
      <c r="I73" s="240"/>
      <c r="J73" s="240"/>
      <c r="K73" s="240"/>
      <c r="L73" s="240"/>
      <c r="M73" s="240"/>
      <c r="N73" s="240"/>
      <c r="O73" s="240"/>
      <c r="P73" s="224">
        <f t="shared" si="40"/>
        <v>6307.5</v>
      </c>
    </row>
    <row r="74" spans="2:16" hidden="1" outlineLevel="1">
      <c r="B74" s="293" t="s">
        <v>252</v>
      </c>
      <c r="C74" s="294"/>
      <c r="D74" s="237">
        <f>SUM($I$22:$I$24,$I$27)/12</f>
        <v>1576.875</v>
      </c>
      <c r="E74" s="237">
        <f t="shared" ref="E74:H74" si="56">SUM($I$22:$I$24,$I$27)/12</f>
        <v>1576.875</v>
      </c>
      <c r="F74" s="237">
        <f t="shared" si="56"/>
        <v>1576.875</v>
      </c>
      <c r="G74" s="237">
        <f t="shared" si="56"/>
        <v>1576.875</v>
      </c>
      <c r="H74" s="237">
        <f t="shared" si="56"/>
        <v>1576.875</v>
      </c>
      <c r="J74" s="240"/>
      <c r="K74" s="240"/>
      <c r="L74" s="240"/>
      <c r="M74" s="240"/>
      <c r="N74" s="240"/>
      <c r="O74" s="240"/>
      <c r="P74" s="224">
        <f t="shared" si="40"/>
        <v>7884.375</v>
      </c>
    </row>
    <row r="75" spans="2:16" hidden="1" outlineLevel="1">
      <c r="B75" s="293" t="s">
        <v>253</v>
      </c>
      <c r="C75" s="294"/>
      <c r="D75" s="237">
        <f>SUM($J$22:$J$24)/12</f>
        <v>2201.875</v>
      </c>
      <c r="E75" s="237">
        <f t="shared" ref="E75:I75" si="57">SUM($J$22:$J$24)/12</f>
        <v>2201.875</v>
      </c>
      <c r="F75" s="237">
        <f t="shared" si="57"/>
        <v>2201.875</v>
      </c>
      <c r="G75" s="237">
        <f t="shared" si="57"/>
        <v>2201.875</v>
      </c>
      <c r="H75" s="237">
        <f t="shared" si="57"/>
        <v>2201.875</v>
      </c>
      <c r="I75" s="237">
        <f t="shared" si="57"/>
        <v>2201.875</v>
      </c>
      <c r="K75" s="240"/>
      <c r="L75" s="240"/>
      <c r="M75" s="240"/>
      <c r="N75" s="240"/>
      <c r="O75" s="240"/>
      <c r="P75" s="224">
        <f t="shared" si="40"/>
        <v>13211.25</v>
      </c>
    </row>
    <row r="76" spans="2:16" hidden="1" outlineLevel="1">
      <c r="B76" s="293" t="s">
        <v>254</v>
      </c>
      <c r="C76" s="294"/>
      <c r="D76" s="237">
        <f>SUM($K$22:$K$24,$K$27)/12</f>
        <v>1576.875</v>
      </c>
      <c r="E76" s="237">
        <f t="shared" ref="E76:J76" si="58">SUM($K$22:$K$24,$K$27)/12</f>
        <v>1576.875</v>
      </c>
      <c r="F76" s="237">
        <f t="shared" si="58"/>
        <v>1576.875</v>
      </c>
      <c r="G76" s="237">
        <f t="shared" si="58"/>
        <v>1576.875</v>
      </c>
      <c r="H76" s="237">
        <f t="shared" si="58"/>
        <v>1576.875</v>
      </c>
      <c r="I76" s="237">
        <f t="shared" si="58"/>
        <v>1576.875</v>
      </c>
      <c r="J76" s="237">
        <f t="shared" si="58"/>
        <v>1576.875</v>
      </c>
      <c r="L76" s="240"/>
      <c r="M76" s="240"/>
      <c r="N76" s="240"/>
      <c r="O76" s="240"/>
      <c r="P76" s="224">
        <f t="shared" si="40"/>
        <v>11038.125</v>
      </c>
    </row>
    <row r="77" spans="2:16" hidden="1" outlineLevel="1">
      <c r="B77" s="293" t="s">
        <v>255</v>
      </c>
      <c r="C77" s="294"/>
      <c r="D77" s="237">
        <f>SUM($L$22:$L$24,$L$27)/12</f>
        <v>2573.75</v>
      </c>
      <c r="E77" s="237">
        <f t="shared" ref="E77:K77" si="59">SUM($L$22:$L$24,$L$27)/12</f>
        <v>2573.75</v>
      </c>
      <c r="F77" s="237">
        <f t="shared" si="59"/>
        <v>2573.75</v>
      </c>
      <c r="G77" s="237">
        <f t="shared" si="59"/>
        <v>2573.75</v>
      </c>
      <c r="H77" s="237">
        <f t="shared" si="59"/>
        <v>2573.75</v>
      </c>
      <c r="I77" s="237">
        <f t="shared" si="59"/>
        <v>2573.75</v>
      </c>
      <c r="J77" s="237">
        <f t="shared" si="59"/>
        <v>2573.75</v>
      </c>
      <c r="K77" s="237">
        <f t="shared" si="59"/>
        <v>2573.75</v>
      </c>
      <c r="M77" s="240"/>
      <c r="N77" s="240"/>
      <c r="O77" s="240"/>
      <c r="P77" s="224">
        <f t="shared" si="40"/>
        <v>20590</v>
      </c>
    </row>
    <row r="78" spans="2:16" hidden="1" outlineLevel="1">
      <c r="B78" s="293" t="s">
        <v>256</v>
      </c>
      <c r="C78" s="294"/>
      <c r="D78" s="237">
        <f>SUM($M$22:$M$24,$M$27)/12</f>
        <v>3198.75</v>
      </c>
      <c r="E78" s="237">
        <f t="shared" ref="E78:L78" si="60">SUM($M$22:$M$24,$M$27)/12</f>
        <v>3198.75</v>
      </c>
      <c r="F78" s="237">
        <f t="shared" si="60"/>
        <v>3198.75</v>
      </c>
      <c r="G78" s="237">
        <f t="shared" si="60"/>
        <v>3198.75</v>
      </c>
      <c r="H78" s="237">
        <f t="shared" si="60"/>
        <v>3198.75</v>
      </c>
      <c r="I78" s="237">
        <f t="shared" si="60"/>
        <v>3198.75</v>
      </c>
      <c r="J78" s="237">
        <f t="shared" si="60"/>
        <v>3198.75</v>
      </c>
      <c r="K78" s="237">
        <f t="shared" si="60"/>
        <v>3198.75</v>
      </c>
      <c r="L78" s="237">
        <f t="shared" si="60"/>
        <v>3198.75</v>
      </c>
      <c r="N78" s="240"/>
      <c r="O78" s="240"/>
      <c r="P78" s="224">
        <f t="shared" si="40"/>
        <v>28788.75</v>
      </c>
    </row>
    <row r="79" spans="2:16" hidden="1" outlineLevel="1">
      <c r="B79" s="293" t="s">
        <v>257</v>
      </c>
      <c r="C79" s="294"/>
      <c r="D79" s="237">
        <f>SUM($N$22:$N$24,$N$27)/12</f>
        <v>3787.6916666666671</v>
      </c>
      <c r="E79" s="237">
        <f t="shared" ref="E79:M79" si="61">SUM($N$22:$N$24,$N$27)/12</f>
        <v>3787.6916666666671</v>
      </c>
      <c r="F79" s="237">
        <f t="shared" si="61"/>
        <v>3787.6916666666671</v>
      </c>
      <c r="G79" s="237">
        <f t="shared" si="61"/>
        <v>3787.6916666666671</v>
      </c>
      <c r="H79" s="237">
        <f t="shared" si="61"/>
        <v>3787.6916666666671</v>
      </c>
      <c r="I79" s="237">
        <f t="shared" si="61"/>
        <v>3787.6916666666671</v>
      </c>
      <c r="J79" s="237">
        <f t="shared" si="61"/>
        <v>3787.6916666666671</v>
      </c>
      <c r="K79" s="237">
        <f t="shared" si="61"/>
        <v>3787.6916666666671</v>
      </c>
      <c r="L79" s="237">
        <f t="shared" si="61"/>
        <v>3787.6916666666671</v>
      </c>
      <c r="M79" s="237">
        <f t="shared" si="61"/>
        <v>3787.6916666666671</v>
      </c>
      <c r="O79" s="240"/>
      <c r="P79" s="224">
        <f t="shared" si="40"/>
        <v>37876.916666666664</v>
      </c>
    </row>
    <row r="80" spans="2:16" hidden="1" outlineLevel="1">
      <c r="B80" s="293" t="s">
        <v>258</v>
      </c>
      <c r="C80" s="294"/>
      <c r="D80" s="237">
        <f>SUM($O$22:$O$24,$O$27)/12</f>
        <v>3390.5916666666667</v>
      </c>
      <c r="E80" s="237">
        <f t="shared" ref="E80:N80" si="62">SUM($O$22:$O$24,$O$27)/12</f>
        <v>3390.5916666666667</v>
      </c>
      <c r="F80" s="237">
        <f t="shared" si="62"/>
        <v>3390.5916666666667</v>
      </c>
      <c r="G80" s="237">
        <f t="shared" si="62"/>
        <v>3390.5916666666667</v>
      </c>
      <c r="H80" s="237">
        <f t="shared" si="62"/>
        <v>3390.5916666666667</v>
      </c>
      <c r="I80" s="237">
        <f t="shared" si="62"/>
        <v>3390.5916666666667</v>
      </c>
      <c r="J80" s="237">
        <f t="shared" si="62"/>
        <v>3390.5916666666667</v>
      </c>
      <c r="K80" s="237">
        <f t="shared" si="62"/>
        <v>3390.5916666666667</v>
      </c>
      <c r="L80" s="237">
        <f t="shared" si="62"/>
        <v>3390.5916666666667</v>
      </c>
      <c r="M80" s="237">
        <f t="shared" si="62"/>
        <v>3390.5916666666667</v>
      </c>
      <c r="N80" s="237">
        <f t="shared" si="62"/>
        <v>3390.5916666666667</v>
      </c>
      <c r="P80" s="224">
        <f t="shared" si="40"/>
        <v>37296.508333333331</v>
      </c>
    </row>
    <row r="81" spans="2:16" hidden="1" outlineLevel="1">
      <c r="B81" s="293" t="s">
        <v>259</v>
      </c>
      <c r="C81" s="294"/>
      <c r="D81" s="237">
        <f>SUM($D$38:$D$40,$D$43:$D$44)/12</f>
        <v>5224.6427083333338</v>
      </c>
      <c r="E81" s="237">
        <f t="shared" ref="E81:O81" si="63">SUM($D$38:$D$40,$D$43:$D$44)/12</f>
        <v>5224.6427083333338</v>
      </c>
      <c r="F81" s="237">
        <f t="shared" si="63"/>
        <v>5224.6427083333338</v>
      </c>
      <c r="G81" s="237">
        <f t="shared" si="63"/>
        <v>5224.6427083333338</v>
      </c>
      <c r="H81" s="237">
        <f t="shared" si="63"/>
        <v>5224.6427083333338</v>
      </c>
      <c r="I81" s="237">
        <f t="shared" si="63"/>
        <v>5224.6427083333338</v>
      </c>
      <c r="J81" s="237">
        <f t="shared" si="63"/>
        <v>5224.6427083333338</v>
      </c>
      <c r="K81" s="237">
        <f t="shared" si="63"/>
        <v>5224.6427083333338</v>
      </c>
      <c r="L81" s="237">
        <f t="shared" si="63"/>
        <v>5224.6427083333338</v>
      </c>
      <c r="M81" s="237">
        <f t="shared" si="63"/>
        <v>5224.6427083333338</v>
      </c>
      <c r="N81" s="237">
        <f t="shared" si="63"/>
        <v>5224.6427083333338</v>
      </c>
      <c r="O81" s="237">
        <f t="shared" si="63"/>
        <v>5224.6427083333338</v>
      </c>
      <c r="P81" s="224">
        <f t="shared" si="40"/>
        <v>62695.712500000001</v>
      </c>
    </row>
    <row r="82" spans="2:16" hidden="1" outlineLevel="1">
      <c r="B82" s="293" t="s">
        <v>260</v>
      </c>
      <c r="C82" s="294"/>
      <c r="D82" s="237"/>
      <c r="E82" s="237">
        <f>SUM($E$38:$E$40,$E$43:$E$44)/12</f>
        <v>4751.1677083333334</v>
      </c>
      <c r="F82" s="237">
        <f t="shared" ref="F82:O82" si="64">SUM($E$38:$E$40,$E$43:$E$44)/12</f>
        <v>4751.1677083333334</v>
      </c>
      <c r="G82" s="237">
        <f t="shared" si="64"/>
        <v>4751.1677083333334</v>
      </c>
      <c r="H82" s="237">
        <f t="shared" si="64"/>
        <v>4751.1677083333334</v>
      </c>
      <c r="I82" s="237">
        <f t="shared" si="64"/>
        <v>4751.1677083333334</v>
      </c>
      <c r="J82" s="237">
        <f t="shared" si="64"/>
        <v>4751.1677083333334</v>
      </c>
      <c r="K82" s="237">
        <f t="shared" si="64"/>
        <v>4751.1677083333334</v>
      </c>
      <c r="L82" s="237">
        <f t="shared" si="64"/>
        <v>4751.1677083333334</v>
      </c>
      <c r="M82" s="237">
        <f t="shared" si="64"/>
        <v>4751.1677083333334</v>
      </c>
      <c r="N82" s="237">
        <f t="shared" si="64"/>
        <v>4751.1677083333334</v>
      </c>
      <c r="O82" s="237">
        <f t="shared" si="64"/>
        <v>4751.1677083333334</v>
      </c>
      <c r="P82" s="224">
        <f t="shared" si="40"/>
        <v>52262.84479166667</v>
      </c>
    </row>
    <row r="83" spans="2:16" hidden="1" outlineLevel="1">
      <c r="B83" s="293" t="s">
        <v>261</v>
      </c>
      <c r="C83" s="294"/>
      <c r="D83" s="237"/>
      <c r="E83" s="237"/>
      <c r="F83" s="237">
        <f>SUM($F$38:$F$40,$F$43:$F$44)/12</f>
        <v>4751.1677083333334</v>
      </c>
      <c r="G83" s="237">
        <f t="shared" ref="G83:O83" si="65">SUM($F$38:$F$40,$F$43:$F$44)/12</f>
        <v>4751.1677083333334</v>
      </c>
      <c r="H83" s="237">
        <f t="shared" si="65"/>
        <v>4751.1677083333334</v>
      </c>
      <c r="I83" s="237">
        <f t="shared" si="65"/>
        <v>4751.1677083333334</v>
      </c>
      <c r="J83" s="237">
        <f t="shared" si="65"/>
        <v>4751.1677083333334</v>
      </c>
      <c r="K83" s="237">
        <f t="shared" si="65"/>
        <v>4751.1677083333334</v>
      </c>
      <c r="L83" s="237">
        <f t="shared" si="65"/>
        <v>4751.1677083333334</v>
      </c>
      <c r="M83" s="237">
        <f t="shared" si="65"/>
        <v>4751.1677083333334</v>
      </c>
      <c r="N83" s="237">
        <f t="shared" si="65"/>
        <v>4751.1677083333334</v>
      </c>
      <c r="O83" s="237">
        <f t="shared" si="65"/>
        <v>4751.1677083333334</v>
      </c>
      <c r="P83" s="224">
        <f t="shared" si="40"/>
        <v>47511.677083333336</v>
      </c>
    </row>
    <row r="84" spans="2:16" hidden="1" outlineLevel="1">
      <c r="B84" s="293" t="s">
        <v>262</v>
      </c>
      <c r="C84" s="294"/>
      <c r="D84" s="237"/>
      <c r="E84" s="237"/>
      <c r="F84" s="237"/>
      <c r="G84" s="237">
        <f>SUM($G$38:$G$40,$G$43:$G$44)/12</f>
        <v>6029.2927083333334</v>
      </c>
      <c r="H84" s="237">
        <f t="shared" ref="H84:O84" si="66">SUM($G$38:$G$40,$G$43:$G$44)/12</f>
        <v>6029.2927083333334</v>
      </c>
      <c r="I84" s="237">
        <f t="shared" si="66"/>
        <v>6029.2927083333334</v>
      </c>
      <c r="J84" s="237">
        <f t="shared" si="66"/>
        <v>6029.2927083333334</v>
      </c>
      <c r="K84" s="237">
        <f t="shared" si="66"/>
        <v>6029.2927083333334</v>
      </c>
      <c r="L84" s="237">
        <f t="shared" si="66"/>
        <v>6029.2927083333334</v>
      </c>
      <c r="M84" s="237">
        <f t="shared" si="66"/>
        <v>6029.2927083333334</v>
      </c>
      <c r="N84" s="237">
        <f t="shared" si="66"/>
        <v>6029.2927083333334</v>
      </c>
      <c r="O84" s="237">
        <f t="shared" si="66"/>
        <v>6029.2927083333334</v>
      </c>
      <c r="P84" s="224">
        <f t="shared" si="40"/>
        <v>54263.634375000001</v>
      </c>
    </row>
    <row r="85" spans="2:16" hidden="1" outlineLevel="1">
      <c r="B85" s="293" t="s">
        <v>263</v>
      </c>
      <c r="C85" s="294"/>
      <c r="D85" s="237"/>
      <c r="E85" s="237"/>
      <c r="F85" s="237"/>
      <c r="G85" s="237"/>
      <c r="H85" s="237">
        <f>SUM($H$38:$H$40,$H$43:$H$44)/12</f>
        <v>4751.1677083333334</v>
      </c>
      <c r="I85" s="237">
        <f t="shared" ref="I85:O85" si="67">SUM($H$38:$H$40,$H$43:$H$44)/12</f>
        <v>4751.1677083333334</v>
      </c>
      <c r="J85" s="237">
        <f t="shared" si="67"/>
        <v>4751.1677083333334</v>
      </c>
      <c r="K85" s="237">
        <f t="shared" si="67"/>
        <v>4751.1677083333334</v>
      </c>
      <c r="L85" s="237">
        <f t="shared" si="67"/>
        <v>4751.1677083333334</v>
      </c>
      <c r="M85" s="237">
        <f t="shared" si="67"/>
        <v>4751.1677083333334</v>
      </c>
      <c r="N85" s="237">
        <f t="shared" si="67"/>
        <v>4751.1677083333334</v>
      </c>
      <c r="O85" s="237">
        <f t="shared" si="67"/>
        <v>4751.1677083333334</v>
      </c>
      <c r="P85" s="224">
        <f t="shared" si="40"/>
        <v>38009.341666666667</v>
      </c>
    </row>
    <row r="86" spans="2:16" hidden="1" outlineLevel="1">
      <c r="B86" s="293" t="s">
        <v>264</v>
      </c>
      <c r="C86" s="294"/>
      <c r="D86" s="237"/>
      <c r="E86" s="237"/>
      <c r="F86" s="237"/>
      <c r="G86" s="237"/>
      <c r="H86" s="237"/>
      <c r="I86" s="237">
        <f>SUM($I$38:$I$40,$I$43:$I$44)/12</f>
        <v>4751.1677083333334</v>
      </c>
      <c r="J86" s="237">
        <f t="shared" ref="J86:O86" si="68">SUM($I$38:$I$40,$I$43:$I$44)/12</f>
        <v>4751.1677083333334</v>
      </c>
      <c r="K86" s="237">
        <f t="shared" si="68"/>
        <v>4751.1677083333334</v>
      </c>
      <c r="L86" s="237">
        <f t="shared" si="68"/>
        <v>4751.1677083333334</v>
      </c>
      <c r="M86" s="237">
        <f t="shared" si="68"/>
        <v>4751.1677083333334</v>
      </c>
      <c r="N86" s="237">
        <f t="shared" si="68"/>
        <v>4751.1677083333334</v>
      </c>
      <c r="O86" s="237">
        <f t="shared" si="68"/>
        <v>4751.1677083333334</v>
      </c>
      <c r="P86" s="224">
        <f t="shared" si="40"/>
        <v>33258.173958333333</v>
      </c>
    </row>
    <row r="87" spans="2:16" hidden="1" outlineLevel="1">
      <c r="B87" s="293" t="s">
        <v>265</v>
      </c>
      <c r="C87" s="294"/>
      <c r="D87" s="237"/>
      <c r="E87" s="237"/>
      <c r="F87" s="237"/>
      <c r="G87" s="237"/>
      <c r="H87" s="237"/>
      <c r="I87" s="237"/>
      <c r="J87" s="237">
        <f>SUM($J$38:$J$40,$J$43:$J$44)/12</f>
        <v>6029.2927083333334</v>
      </c>
      <c r="K87" s="237">
        <f t="shared" ref="K87:O87" si="69">SUM($J$38:$J$40,$J$43:$J$44)/12</f>
        <v>6029.2927083333334</v>
      </c>
      <c r="L87" s="237">
        <f t="shared" si="69"/>
        <v>6029.2927083333334</v>
      </c>
      <c r="M87" s="237">
        <f t="shared" si="69"/>
        <v>6029.2927083333334</v>
      </c>
      <c r="N87" s="237">
        <f t="shared" si="69"/>
        <v>6029.2927083333334</v>
      </c>
      <c r="O87" s="237">
        <f t="shared" si="69"/>
        <v>6029.2927083333334</v>
      </c>
      <c r="P87" s="224">
        <f t="shared" si="40"/>
        <v>36175.756249999999</v>
      </c>
    </row>
    <row r="88" spans="2:16" hidden="1" outlineLevel="1">
      <c r="B88" s="293" t="s">
        <v>266</v>
      </c>
      <c r="C88" s="294"/>
      <c r="D88" s="237"/>
      <c r="E88" s="237"/>
      <c r="F88" s="237"/>
      <c r="G88" s="237"/>
      <c r="H88" s="237"/>
      <c r="I88" s="237"/>
      <c r="J88" s="237"/>
      <c r="K88" s="237">
        <f>SUM($K$38:$K$40,$K$43:$K$44)/12</f>
        <v>4751.1677083333334</v>
      </c>
      <c r="L88" s="237">
        <f t="shared" ref="L88:O88" si="70">SUM($K$38:$K$40,$K$43:$K$44)/12</f>
        <v>4751.1677083333334</v>
      </c>
      <c r="M88" s="237">
        <f t="shared" si="70"/>
        <v>4751.1677083333334</v>
      </c>
      <c r="N88" s="237">
        <f t="shared" si="70"/>
        <v>4751.1677083333334</v>
      </c>
      <c r="O88" s="237">
        <f t="shared" si="70"/>
        <v>4751.1677083333334</v>
      </c>
      <c r="P88" s="224">
        <f t="shared" si="40"/>
        <v>23755.838541666668</v>
      </c>
    </row>
    <row r="89" spans="2:16" hidden="1" outlineLevel="1">
      <c r="B89" s="293" t="s">
        <v>267</v>
      </c>
      <c r="C89" s="294"/>
      <c r="D89" s="237"/>
      <c r="E89" s="237"/>
      <c r="F89" s="237"/>
      <c r="G89" s="237"/>
      <c r="H89" s="237"/>
      <c r="I89" s="237"/>
      <c r="J89" s="237"/>
      <c r="K89" s="237"/>
      <c r="L89" s="237">
        <f>SUM($L$38:$L$40,$L$43:$L$44)/12</f>
        <v>5792.9020833333343</v>
      </c>
      <c r="M89" s="237">
        <f t="shared" ref="M89:O89" si="71">SUM($L$38:$L$40,$L$43:$L$44)/12</f>
        <v>5792.9020833333343</v>
      </c>
      <c r="N89" s="237">
        <f t="shared" si="71"/>
        <v>5792.9020833333343</v>
      </c>
      <c r="O89" s="237">
        <f t="shared" si="71"/>
        <v>5792.9020833333343</v>
      </c>
      <c r="P89" s="224">
        <f t="shared" si="40"/>
        <v>23171.608333333337</v>
      </c>
    </row>
    <row r="90" spans="2:16" hidden="1" outlineLevel="1">
      <c r="B90" s="293" t="s">
        <v>268</v>
      </c>
      <c r="C90" s="294"/>
      <c r="D90" s="237"/>
      <c r="E90" s="237"/>
      <c r="F90" s="237"/>
      <c r="G90" s="237"/>
      <c r="H90" s="237"/>
      <c r="I90" s="237"/>
      <c r="J90" s="237"/>
      <c r="K90" s="237"/>
      <c r="L90" s="237"/>
      <c r="M90" s="237">
        <f>SUM($M$38:$M$40,$M$43:$M$44)/12</f>
        <v>7071.0270833333343</v>
      </c>
      <c r="N90" s="237">
        <f t="shared" ref="N90:O90" si="72">SUM($M$38:$M$40,$M$43:$M$44)/12</f>
        <v>7071.0270833333343</v>
      </c>
      <c r="O90" s="237">
        <f t="shared" si="72"/>
        <v>7071.0270833333343</v>
      </c>
      <c r="P90" s="224">
        <f t="shared" si="40"/>
        <v>21213.081250000003</v>
      </c>
    </row>
    <row r="91" spans="2:16" hidden="1" outlineLevel="1">
      <c r="B91" s="293" t="s">
        <v>269</v>
      </c>
      <c r="C91" s="294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>
        <f>SUM($N$38:$N$40,$N$43:$N$44)/12</f>
        <v>6946.1466666666674</v>
      </c>
      <c r="O91" s="237">
        <f>SUM($N$38:$N$40,$N$43:$N$44)/12</f>
        <v>6946.1466666666674</v>
      </c>
      <c r="P91" s="224">
        <f t="shared" si="40"/>
        <v>13892.293333333335</v>
      </c>
    </row>
    <row r="92" spans="2:16" hidden="1" outlineLevel="1">
      <c r="B92" s="293" t="s">
        <v>270</v>
      </c>
      <c r="C92" s="294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>
        <f>SUM($O$38:$O$40,$O$43:$O$44)/12</f>
        <v>6568.9016666666676</v>
      </c>
      <c r="P92" s="224">
        <f t="shared" ref="P92" si="73">SUM(D92:O92)</f>
        <v>6568.9016666666676</v>
      </c>
    </row>
    <row r="93" spans="2:16" collapsed="1"/>
  </sheetData>
  <mergeCells count="81">
    <mergeCell ref="M2:O2"/>
    <mergeCell ref="B15:C16"/>
    <mergeCell ref="D15:F15"/>
    <mergeCell ref="G15:I15"/>
    <mergeCell ref="J15:L15"/>
    <mergeCell ref="M15:O15"/>
    <mergeCell ref="B2:C3"/>
    <mergeCell ref="D2:F2"/>
    <mergeCell ref="G2:I2"/>
    <mergeCell ref="J2:L2"/>
    <mergeCell ref="P2:P3"/>
    <mergeCell ref="P15:P16"/>
    <mergeCell ref="R31:S32"/>
    <mergeCell ref="T31:V31"/>
    <mergeCell ref="W31:Y31"/>
    <mergeCell ref="Z2:AB2"/>
    <mergeCell ref="AC2:AE2"/>
    <mergeCell ref="R15:S16"/>
    <mergeCell ref="T15:V15"/>
    <mergeCell ref="W15:Y15"/>
    <mergeCell ref="Z15:AB15"/>
    <mergeCell ref="AC15:AE15"/>
    <mergeCell ref="R2:S3"/>
    <mergeCell ref="T2:V2"/>
    <mergeCell ref="W2:Y2"/>
    <mergeCell ref="Z31:AB31"/>
    <mergeCell ref="AC31:AE31"/>
    <mergeCell ref="B49:C50"/>
    <mergeCell ref="D49:F49"/>
    <mergeCell ref="G49:I49"/>
    <mergeCell ref="J49:L49"/>
    <mergeCell ref="M49:O49"/>
    <mergeCell ref="P49:P50"/>
    <mergeCell ref="J31:L31"/>
    <mergeCell ref="M31:O31"/>
    <mergeCell ref="P31:P32"/>
    <mergeCell ref="B31:C32"/>
    <mergeCell ref="D31:F31"/>
    <mergeCell ref="G31:I31"/>
    <mergeCell ref="B55:C55"/>
    <mergeCell ref="B52:C52"/>
    <mergeCell ref="B53:C53"/>
    <mergeCell ref="B54:C54"/>
    <mergeCell ref="B51:C51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1:C91"/>
    <mergeCell ref="B92:C92"/>
    <mergeCell ref="B86:C86"/>
    <mergeCell ref="B87:C87"/>
    <mergeCell ref="B88:C88"/>
    <mergeCell ref="B89:C89"/>
    <mergeCell ref="B90:C90"/>
  </mergeCells>
  <pageMargins left="0.7" right="0.7" top="0.75" bottom="0.75" header="0.3" footer="0.3"/>
  <ignoredErrors>
    <ignoredError sqref="P5 P18:P1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2:AQ66"/>
  <sheetViews>
    <sheetView showGridLines="0" topLeftCell="A41" zoomScale="94" workbookViewId="0">
      <selection activeCell="AC65" sqref="AC65"/>
    </sheetView>
  </sheetViews>
  <sheetFormatPr baseColWidth="10" defaultColWidth="8.83203125" defaultRowHeight="14" outlineLevelCol="1" x14ac:dyDescent="0"/>
  <cols>
    <col min="1" max="1" width="4.33203125" style="78" customWidth="1"/>
    <col min="2" max="2" width="35.5" style="73" bestFit="1" customWidth="1"/>
    <col min="3" max="3" width="13.33203125" style="73" customWidth="1"/>
    <col min="4" max="4" width="12.83203125" style="73" customWidth="1"/>
    <col min="5" max="5" width="9.83203125" style="73" customWidth="1" outlineLevel="1"/>
    <col min="6" max="6" width="8.6640625" style="73" customWidth="1" outlineLevel="1"/>
    <col min="7" max="15" width="9.33203125" style="73" customWidth="1" outlineLevel="1"/>
    <col min="16" max="16" width="9.1640625" style="73" customWidth="1" outlineLevel="1"/>
    <col min="17" max="17" width="9.83203125" style="73" customWidth="1" outlineLevel="1"/>
    <col min="18" max="18" width="8.6640625" style="73" customWidth="1" outlineLevel="1"/>
    <col min="19" max="27" width="9.33203125" style="73" customWidth="1" outlineLevel="1"/>
    <col min="28" max="28" width="9.1640625" style="73" customWidth="1" outlineLevel="1"/>
    <col min="29" max="29" width="9.83203125" style="73" customWidth="1" outlineLevel="1"/>
    <col min="30" max="30" width="8.6640625" style="73" customWidth="1" outlineLevel="1"/>
    <col min="31" max="39" width="9.33203125" style="73" customWidth="1" outlineLevel="1"/>
    <col min="40" max="40" width="9.1640625" style="73" customWidth="1" outlineLevel="1"/>
    <col min="41" max="41" width="10.33203125" style="73" bestFit="1" customWidth="1"/>
    <col min="42" max="43" width="11" style="73" bestFit="1" customWidth="1"/>
    <col min="44" max="16384" width="8.83203125" style="73"/>
  </cols>
  <sheetData>
    <row r="2" spans="2:43">
      <c r="B2" s="113" t="s">
        <v>5</v>
      </c>
      <c r="AO2" s="125"/>
      <c r="AP2" s="125"/>
      <c r="AQ2" s="125"/>
    </row>
    <row r="3" spans="2:43" ht="15" thickBot="1">
      <c r="AO3" s="125">
        <f>SUM(AO5:AO12,AO17,AO22:AO32,AO37:AO39,AO45:AO51,AO56,AO64)</f>
        <v>138190.29072145105</v>
      </c>
      <c r="AP3" s="125">
        <f>SUM(AP5:AP12,AP17,AP22:AP32,AP37:AP39,AP45:AP51,AP56,AP64)</f>
        <v>368206.59983510233</v>
      </c>
      <c r="AQ3" s="125">
        <f>SUM(AQ5:AQ12,AQ17,AQ22:AQ32,AQ37:AQ39,AQ45:AQ51,AQ56,AQ64)</f>
        <v>496664.74249993515</v>
      </c>
    </row>
    <row r="4" spans="2:43" ht="15" thickBot="1">
      <c r="B4" s="119" t="s">
        <v>122</v>
      </c>
      <c r="C4" s="126" t="s">
        <v>123</v>
      </c>
      <c r="D4" s="126" t="s">
        <v>126</v>
      </c>
      <c r="E4" s="117" t="s">
        <v>83</v>
      </c>
      <c r="F4" s="117" t="s">
        <v>84</v>
      </c>
      <c r="G4" s="117" t="s">
        <v>85</v>
      </c>
      <c r="H4" s="117" t="s">
        <v>86</v>
      </c>
      <c r="I4" s="117" t="s">
        <v>106</v>
      </c>
      <c r="J4" s="117" t="s">
        <v>87</v>
      </c>
      <c r="K4" s="117" t="s">
        <v>88</v>
      </c>
      <c r="L4" s="117" t="s">
        <v>89</v>
      </c>
      <c r="M4" s="117" t="s">
        <v>90</v>
      </c>
      <c r="N4" s="117" t="s">
        <v>91</v>
      </c>
      <c r="O4" s="117" t="s">
        <v>92</v>
      </c>
      <c r="P4" s="121" t="s">
        <v>93</v>
      </c>
      <c r="Q4" s="117" t="s">
        <v>132</v>
      </c>
      <c r="R4" s="117" t="s">
        <v>133</v>
      </c>
      <c r="S4" s="117" t="s">
        <v>134</v>
      </c>
      <c r="T4" s="117" t="s">
        <v>135</v>
      </c>
      <c r="U4" s="117" t="s">
        <v>136</v>
      </c>
      <c r="V4" s="117" t="s">
        <v>137</v>
      </c>
      <c r="W4" s="117" t="s">
        <v>138</v>
      </c>
      <c r="X4" s="117" t="s">
        <v>139</v>
      </c>
      <c r="Y4" s="117" t="s">
        <v>140</v>
      </c>
      <c r="Z4" s="117" t="s">
        <v>141</v>
      </c>
      <c r="AA4" s="117" t="s">
        <v>142</v>
      </c>
      <c r="AB4" s="121" t="s">
        <v>143</v>
      </c>
      <c r="AC4" s="117" t="s">
        <v>144</v>
      </c>
      <c r="AD4" s="117" t="s">
        <v>145</v>
      </c>
      <c r="AE4" s="117" t="s">
        <v>146</v>
      </c>
      <c r="AF4" s="117" t="s">
        <v>147</v>
      </c>
      <c r="AG4" s="117" t="s">
        <v>148</v>
      </c>
      <c r="AH4" s="117" t="s">
        <v>149</v>
      </c>
      <c r="AI4" s="117" t="s">
        <v>150</v>
      </c>
      <c r="AJ4" s="117" t="s">
        <v>151</v>
      </c>
      <c r="AK4" s="117" t="s">
        <v>152</v>
      </c>
      <c r="AL4" s="117" t="s">
        <v>153</v>
      </c>
      <c r="AM4" s="117" t="s">
        <v>154</v>
      </c>
      <c r="AN4" s="121" t="s">
        <v>155</v>
      </c>
      <c r="AO4" s="122" t="s">
        <v>156</v>
      </c>
      <c r="AP4" s="122" t="s">
        <v>157</v>
      </c>
      <c r="AQ4" s="122" t="s">
        <v>158</v>
      </c>
    </row>
    <row r="5" spans="2:43">
      <c r="B5" s="214" t="s">
        <v>203</v>
      </c>
      <c r="C5" s="211">
        <v>7000</v>
      </c>
      <c r="D5" s="211" t="s">
        <v>125</v>
      </c>
      <c r="E5" s="211"/>
      <c r="F5" s="211"/>
      <c r="G5" s="211"/>
      <c r="H5" s="211"/>
      <c r="I5" s="211"/>
      <c r="J5" s="211"/>
      <c r="K5" s="211"/>
      <c r="L5" s="211">
        <f t="shared" ref="L5" si="0">$C$5/2</f>
        <v>3500</v>
      </c>
      <c r="M5" s="211">
        <f>$C$5</f>
        <v>7000</v>
      </c>
      <c r="N5" s="211">
        <f t="shared" ref="N5:AA5" si="1">$C$5</f>
        <v>7000</v>
      </c>
      <c r="O5" s="211">
        <f t="shared" si="1"/>
        <v>7000</v>
      </c>
      <c r="P5" s="211">
        <f t="shared" si="1"/>
        <v>7000</v>
      </c>
      <c r="Q5" s="211">
        <f t="shared" si="1"/>
        <v>7000</v>
      </c>
      <c r="R5" s="211">
        <f t="shared" si="1"/>
        <v>7000</v>
      </c>
      <c r="S5" s="211">
        <f t="shared" si="1"/>
        <v>7000</v>
      </c>
      <c r="T5" s="211">
        <f t="shared" si="1"/>
        <v>7000</v>
      </c>
      <c r="U5" s="211">
        <f t="shared" si="1"/>
        <v>7000</v>
      </c>
      <c r="V5" s="211">
        <f t="shared" si="1"/>
        <v>7000</v>
      </c>
      <c r="W5" s="211">
        <f t="shared" si="1"/>
        <v>7000</v>
      </c>
      <c r="X5" s="211">
        <f t="shared" si="1"/>
        <v>7000</v>
      </c>
      <c r="Y5" s="211">
        <f t="shared" si="1"/>
        <v>7000</v>
      </c>
      <c r="Z5" s="211">
        <f t="shared" si="1"/>
        <v>7000</v>
      </c>
      <c r="AA5" s="211">
        <f t="shared" si="1"/>
        <v>7000</v>
      </c>
      <c r="AB5" s="211">
        <v>8000</v>
      </c>
      <c r="AC5" s="211">
        <v>8000</v>
      </c>
      <c r="AD5" s="211">
        <v>8000</v>
      </c>
      <c r="AE5" s="211">
        <v>8000</v>
      </c>
      <c r="AF5" s="211">
        <v>8000</v>
      </c>
      <c r="AG5" s="211">
        <v>8000</v>
      </c>
      <c r="AH5" s="211">
        <v>8000</v>
      </c>
      <c r="AI5" s="211">
        <v>8000</v>
      </c>
      <c r="AJ5" s="211">
        <v>8000</v>
      </c>
      <c r="AK5" s="211">
        <v>8000</v>
      </c>
      <c r="AL5" s="211">
        <v>8000</v>
      </c>
      <c r="AM5" s="211">
        <v>8000</v>
      </c>
      <c r="AN5" s="211">
        <v>8000</v>
      </c>
      <c r="AO5" s="213">
        <f>SUM(E5:P5)</f>
        <v>31500</v>
      </c>
      <c r="AP5" s="213">
        <f>SUM(Q5:AB5)</f>
        <v>85000</v>
      </c>
      <c r="AQ5" s="213">
        <f>SUM(AC5:AN5)</f>
        <v>96000</v>
      </c>
    </row>
    <row r="6" spans="2:43">
      <c r="B6" s="214" t="s">
        <v>204</v>
      </c>
      <c r="C6" s="211">
        <v>2000</v>
      </c>
      <c r="D6" s="211" t="s">
        <v>125</v>
      </c>
      <c r="E6" s="211"/>
      <c r="F6" s="211"/>
      <c r="G6" s="211"/>
      <c r="H6" s="211"/>
      <c r="I6" s="211"/>
      <c r="J6" s="211"/>
      <c r="K6" s="211">
        <v>2000</v>
      </c>
      <c r="L6" s="211">
        <v>2000</v>
      </c>
      <c r="M6" s="211"/>
      <c r="N6" s="211"/>
      <c r="O6" s="211"/>
      <c r="P6" s="120">
        <f t="shared" ref="P6:X6" si="2">$C$6</f>
        <v>2000</v>
      </c>
      <c r="Q6" s="211">
        <f>$C$6</f>
        <v>2000</v>
      </c>
      <c r="R6" s="211"/>
      <c r="S6" s="211"/>
      <c r="T6" s="211"/>
      <c r="U6" s="211">
        <f t="shared" si="2"/>
        <v>2000</v>
      </c>
      <c r="V6" s="211">
        <f t="shared" si="2"/>
        <v>2000</v>
      </c>
      <c r="W6" s="211">
        <f t="shared" si="2"/>
        <v>2000</v>
      </c>
      <c r="X6" s="211">
        <f t="shared" si="2"/>
        <v>2000</v>
      </c>
      <c r="Y6" s="211"/>
      <c r="Z6" s="211"/>
      <c r="AA6" s="211"/>
      <c r="AB6" s="120">
        <f>$C$6</f>
        <v>2000</v>
      </c>
      <c r="AC6" s="211">
        <f>$C$6*1.5</f>
        <v>3000</v>
      </c>
      <c r="AD6" s="211"/>
      <c r="AE6" s="211"/>
      <c r="AF6" s="211"/>
      <c r="AG6" s="211">
        <f t="shared" ref="AG6:AN6" si="3">$C$6*1.5</f>
        <v>3000</v>
      </c>
      <c r="AH6" s="211">
        <f t="shared" si="3"/>
        <v>3000</v>
      </c>
      <c r="AI6" s="211">
        <f t="shared" si="3"/>
        <v>3000</v>
      </c>
      <c r="AJ6" s="211"/>
      <c r="AK6" s="211"/>
      <c r="AL6" s="211"/>
      <c r="AM6" s="211"/>
      <c r="AN6" s="211">
        <f t="shared" si="3"/>
        <v>3000</v>
      </c>
      <c r="AO6" s="213">
        <f t="shared" ref="AO6:AO11" si="4">SUM(E6:P6)</f>
        <v>6000</v>
      </c>
      <c r="AP6" s="213">
        <f t="shared" ref="AP6:AP11" si="5">SUM(Q6:AB6)</f>
        <v>12000</v>
      </c>
      <c r="AQ6" s="213">
        <f t="shared" ref="AQ6:AQ11" si="6">SUM(AC6:AN6)</f>
        <v>15000</v>
      </c>
    </row>
    <row r="7" spans="2:43">
      <c r="B7" s="214" t="s">
        <v>277</v>
      </c>
      <c r="C7" s="211">
        <v>3500</v>
      </c>
      <c r="D7" s="211" t="s">
        <v>125</v>
      </c>
      <c r="E7" s="211"/>
      <c r="F7" s="211"/>
      <c r="G7" s="211"/>
      <c r="H7" s="211"/>
      <c r="I7" s="211"/>
      <c r="J7" s="211"/>
      <c r="K7" s="211"/>
      <c r="L7" s="211"/>
      <c r="M7" s="211">
        <f t="shared" ref="M7:N7" si="7">$C$7</f>
        <v>3500</v>
      </c>
      <c r="N7" s="211">
        <f t="shared" si="7"/>
        <v>3500</v>
      </c>
      <c r="O7" s="211">
        <f t="shared" ref="O7:AN7" si="8">$C$7</f>
        <v>3500</v>
      </c>
      <c r="P7" s="211">
        <f t="shared" si="8"/>
        <v>3500</v>
      </c>
      <c r="Q7" s="211">
        <f t="shared" si="8"/>
        <v>3500</v>
      </c>
      <c r="R7" s="211">
        <f t="shared" si="8"/>
        <v>3500</v>
      </c>
      <c r="S7" s="211">
        <f t="shared" si="8"/>
        <v>3500</v>
      </c>
      <c r="T7" s="211">
        <f t="shared" si="8"/>
        <v>3500</v>
      </c>
      <c r="U7" s="211">
        <f t="shared" si="8"/>
        <v>3500</v>
      </c>
      <c r="V7" s="211">
        <f t="shared" si="8"/>
        <v>3500</v>
      </c>
      <c r="W7" s="211">
        <f t="shared" si="8"/>
        <v>3500</v>
      </c>
      <c r="X7" s="211">
        <f t="shared" si="8"/>
        <v>3500</v>
      </c>
      <c r="Y7" s="211">
        <f t="shared" si="8"/>
        <v>3500</v>
      </c>
      <c r="Z7" s="211">
        <f t="shared" si="8"/>
        <v>3500</v>
      </c>
      <c r="AA7" s="211">
        <f t="shared" si="8"/>
        <v>3500</v>
      </c>
      <c r="AB7" s="120">
        <f t="shared" si="8"/>
        <v>3500</v>
      </c>
      <c r="AC7" s="211">
        <f>$C$7</f>
        <v>3500</v>
      </c>
      <c r="AD7" s="211">
        <f t="shared" si="8"/>
        <v>3500</v>
      </c>
      <c r="AE7" s="211">
        <f t="shared" si="8"/>
        <v>3500</v>
      </c>
      <c r="AF7" s="211">
        <f t="shared" si="8"/>
        <v>3500</v>
      </c>
      <c r="AG7" s="211">
        <f t="shared" si="8"/>
        <v>3500</v>
      </c>
      <c r="AH7" s="211">
        <f t="shared" si="8"/>
        <v>3500</v>
      </c>
      <c r="AI7" s="211">
        <f t="shared" si="8"/>
        <v>3500</v>
      </c>
      <c r="AJ7" s="211">
        <f t="shared" si="8"/>
        <v>3500</v>
      </c>
      <c r="AK7" s="211">
        <f t="shared" si="8"/>
        <v>3500</v>
      </c>
      <c r="AL7" s="211">
        <f t="shared" si="8"/>
        <v>3500</v>
      </c>
      <c r="AM7" s="211">
        <f t="shared" si="8"/>
        <v>3500</v>
      </c>
      <c r="AN7" s="120">
        <f t="shared" si="8"/>
        <v>3500</v>
      </c>
      <c r="AO7" s="213">
        <f t="shared" si="4"/>
        <v>14000</v>
      </c>
      <c r="AP7" s="213">
        <f t="shared" si="5"/>
        <v>42000</v>
      </c>
      <c r="AQ7" s="213">
        <f t="shared" si="6"/>
        <v>42000</v>
      </c>
    </row>
    <row r="8" spans="2:43">
      <c r="B8" s="214" t="s">
        <v>280</v>
      </c>
      <c r="C8" s="211">
        <v>5000</v>
      </c>
      <c r="D8" s="211" t="s">
        <v>125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120"/>
      <c r="Q8" s="211"/>
      <c r="R8" s="211">
        <f t="shared" ref="R8:AN8" si="9">$C$8</f>
        <v>5000</v>
      </c>
      <c r="S8" s="211">
        <f t="shared" si="9"/>
        <v>5000</v>
      </c>
      <c r="T8" s="211">
        <f t="shared" si="9"/>
        <v>5000</v>
      </c>
      <c r="U8" s="211">
        <f t="shared" si="9"/>
        <v>5000</v>
      </c>
      <c r="V8" s="211">
        <f t="shared" si="9"/>
        <v>5000</v>
      </c>
      <c r="W8" s="211">
        <f t="shared" si="9"/>
        <v>5000</v>
      </c>
      <c r="X8" s="211">
        <f t="shared" si="9"/>
        <v>5000</v>
      </c>
      <c r="Y8" s="211">
        <f t="shared" si="9"/>
        <v>5000</v>
      </c>
      <c r="Z8" s="211">
        <f t="shared" si="9"/>
        <v>5000</v>
      </c>
      <c r="AA8" s="211">
        <f t="shared" si="9"/>
        <v>5000</v>
      </c>
      <c r="AB8" s="120">
        <f t="shared" si="9"/>
        <v>5000</v>
      </c>
      <c r="AC8" s="211">
        <f>$C$8</f>
        <v>5000</v>
      </c>
      <c r="AD8" s="211">
        <f t="shared" si="9"/>
        <v>5000</v>
      </c>
      <c r="AE8" s="211">
        <f t="shared" si="9"/>
        <v>5000</v>
      </c>
      <c r="AF8" s="211">
        <f t="shared" si="9"/>
        <v>5000</v>
      </c>
      <c r="AG8" s="211">
        <f t="shared" si="9"/>
        <v>5000</v>
      </c>
      <c r="AH8" s="211">
        <f t="shared" si="9"/>
        <v>5000</v>
      </c>
      <c r="AI8" s="211">
        <f t="shared" si="9"/>
        <v>5000</v>
      </c>
      <c r="AJ8" s="211">
        <f t="shared" si="9"/>
        <v>5000</v>
      </c>
      <c r="AK8" s="211">
        <f t="shared" si="9"/>
        <v>5000</v>
      </c>
      <c r="AL8" s="211">
        <f t="shared" si="9"/>
        <v>5000</v>
      </c>
      <c r="AM8" s="211">
        <f t="shared" si="9"/>
        <v>5000</v>
      </c>
      <c r="AN8" s="120">
        <f t="shared" si="9"/>
        <v>5000</v>
      </c>
      <c r="AO8" s="213">
        <f t="shared" si="4"/>
        <v>0</v>
      </c>
      <c r="AP8" s="213">
        <f t="shared" si="5"/>
        <v>55000</v>
      </c>
      <c r="AQ8" s="213">
        <f t="shared" si="6"/>
        <v>60000</v>
      </c>
    </row>
    <row r="9" spans="2:43">
      <c r="B9" s="214" t="s">
        <v>278</v>
      </c>
      <c r="C9" s="248">
        <v>5000</v>
      </c>
      <c r="D9" s="248" t="s">
        <v>125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120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>
        <f>$C$9</f>
        <v>5000</v>
      </c>
      <c r="AB9" s="248">
        <f t="shared" ref="AB9:AN9" si="10">$C$9</f>
        <v>5000</v>
      </c>
      <c r="AC9" s="248">
        <f t="shared" si="10"/>
        <v>5000</v>
      </c>
      <c r="AD9" s="248">
        <f t="shared" si="10"/>
        <v>5000</v>
      </c>
      <c r="AE9" s="248">
        <f t="shared" si="10"/>
        <v>5000</v>
      </c>
      <c r="AF9" s="248">
        <f t="shared" si="10"/>
        <v>5000</v>
      </c>
      <c r="AG9" s="248">
        <f t="shared" si="10"/>
        <v>5000</v>
      </c>
      <c r="AH9" s="248">
        <f t="shared" si="10"/>
        <v>5000</v>
      </c>
      <c r="AI9" s="248">
        <f t="shared" si="10"/>
        <v>5000</v>
      </c>
      <c r="AJ9" s="248">
        <f t="shared" si="10"/>
        <v>5000</v>
      </c>
      <c r="AK9" s="248">
        <f t="shared" si="10"/>
        <v>5000</v>
      </c>
      <c r="AL9" s="248">
        <f t="shared" si="10"/>
        <v>5000</v>
      </c>
      <c r="AM9" s="248">
        <f t="shared" si="10"/>
        <v>5000</v>
      </c>
      <c r="AN9" s="248">
        <f t="shared" si="10"/>
        <v>5000</v>
      </c>
      <c r="AO9" s="213">
        <f t="shared" ref="AO9" si="11">SUM(E9:P9)</f>
        <v>0</v>
      </c>
      <c r="AP9" s="213">
        <f t="shared" ref="AP9" si="12">SUM(Q9:AB9)</f>
        <v>10000</v>
      </c>
      <c r="AQ9" s="213">
        <f t="shared" ref="AQ9" si="13">SUM(AC9:AN9)</f>
        <v>60000</v>
      </c>
    </row>
    <row r="10" spans="2:43">
      <c r="B10" s="214" t="s">
        <v>234</v>
      </c>
      <c r="C10" s="211">
        <v>30</v>
      </c>
      <c r="D10" s="211" t="s">
        <v>235</v>
      </c>
      <c r="E10" s="211"/>
      <c r="F10" s="211"/>
      <c r="G10" s="211"/>
      <c r="H10" s="211"/>
      <c r="I10" s="211"/>
      <c r="J10" s="211"/>
      <c r="K10" s="211"/>
      <c r="L10" s="211"/>
      <c r="M10" s="211">
        <f>$C$10*COUNT(M7:M9)</f>
        <v>30</v>
      </c>
      <c r="N10" s="211">
        <f t="shared" ref="N10:AN10" si="14">$C$10*COUNT(N7:N9)</f>
        <v>30</v>
      </c>
      <c r="O10" s="211">
        <f t="shared" si="14"/>
        <v>30</v>
      </c>
      <c r="P10" s="211">
        <f t="shared" si="14"/>
        <v>30</v>
      </c>
      <c r="Q10" s="211">
        <f t="shared" si="14"/>
        <v>30</v>
      </c>
      <c r="R10" s="211">
        <f t="shared" si="14"/>
        <v>60</v>
      </c>
      <c r="S10" s="211">
        <f t="shared" si="14"/>
        <v>60</v>
      </c>
      <c r="T10" s="211">
        <f t="shared" si="14"/>
        <v>60</v>
      </c>
      <c r="U10" s="211">
        <f t="shared" si="14"/>
        <v>60</v>
      </c>
      <c r="V10" s="211">
        <f t="shared" si="14"/>
        <v>60</v>
      </c>
      <c r="W10" s="211">
        <f t="shared" si="14"/>
        <v>60</v>
      </c>
      <c r="X10" s="211">
        <f t="shared" si="14"/>
        <v>60</v>
      </c>
      <c r="Y10" s="211">
        <f t="shared" si="14"/>
        <v>60</v>
      </c>
      <c r="Z10" s="211">
        <f t="shared" si="14"/>
        <v>60</v>
      </c>
      <c r="AA10" s="211">
        <f t="shared" si="14"/>
        <v>90</v>
      </c>
      <c r="AB10" s="211">
        <f t="shared" si="14"/>
        <v>90</v>
      </c>
      <c r="AC10" s="211">
        <f t="shared" si="14"/>
        <v>90</v>
      </c>
      <c r="AD10" s="211">
        <f t="shared" si="14"/>
        <v>90</v>
      </c>
      <c r="AE10" s="211">
        <f t="shared" si="14"/>
        <v>90</v>
      </c>
      <c r="AF10" s="211">
        <f t="shared" si="14"/>
        <v>90</v>
      </c>
      <c r="AG10" s="211">
        <f t="shared" si="14"/>
        <v>90</v>
      </c>
      <c r="AH10" s="211">
        <f t="shared" si="14"/>
        <v>90</v>
      </c>
      <c r="AI10" s="211">
        <f t="shared" si="14"/>
        <v>90</v>
      </c>
      <c r="AJ10" s="211">
        <f t="shared" si="14"/>
        <v>90</v>
      </c>
      <c r="AK10" s="211">
        <f t="shared" si="14"/>
        <v>90</v>
      </c>
      <c r="AL10" s="211">
        <f t="shared" si="14"/>
        <v>90</v>
      </c>
      <c r="AM10" s="211">
        <f t="shared" si="14"/>
        <v>90</v>
      </c>
      <c r="AN10" s="211">
        <f t="shared" si="14"/>
        <v>90</v>
      </c>
      <c r="AO10" s="213">
        <f t="shared" si="4"/>
        <v>120</v>
      </c>
      <c r="AP10" s="213">
        <f t="shared" si="5"/>
        <v>750</v>
      </c>
      <c r="AQ10" s="213">
        <f t="shared" si="6"/>
        <v>1080</v>
      </c>
    </row>
    <row r="11" spans="2:43">
      <c r="B11" s="214" t="s">
        <v>236</v>
      </c>
      <c r="C11" s="211">
        <v>500</v>
      </c>
      <c r="D11" s="211" t="s">
        <v>238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120"/>
      <c r="Q11" s="211"/>
      <c r="R11" s="211"/>
      <c r="S11" s="211"/>
      <c r="T11" s="211"/>
      <c r="U11" s="211"/>
      <c r="V11" s="211"/>
      <c r="W11" s="211">
        <f>$C$11*(COUNT(W5,W7,W8)+1)</f>
        <v>2000</v>
      </c>
      <c r="X11" s="211"/>
      <c r="Y11" s="211"/>
      <c r="Z11" s="211"/>
      <c r="AA11" s="211"/>
      <c r="AB11" s="120"/>
      <c r="AC11" s="211">
        <f>$C$11*(COUNT(AC5,AC7,AC8)+1)</f>
        <v>2000</v>
      </c>
      <c r="AD11" s="211"/>
      <c r="AE11" s="211"/>
      <c r="AF11" s="211"/>
      <c r="AG11" s="211"/>
      <c r="AH11" s="211"/>
      <c r="AI11" s="211">
        <f>$C$11*(COUNT(AI5,AI7,AI8)+1)</f>
        <v>2000</v>
      </c>
      <c r="AJ11" s="211"/>
      <c r="AK11" s="211"/>
      <c r="AL11" s="211"/>
      <c r="AM11" s="211"/>
      <c r="AN11" s="120"/>
      <c r="AO11" s="213">
        <f t="shared" si="4"/>
        <v>0</v>
      </c>
      <c r="AP11" s="213">
        <f t="shared" si="5"/>
        <v>2000</v>
      </c>
      <c r="AQ11" s="213">
        <f t="shared" si="6"/>
        <v>4000</v>
      </c>
    </row>
    <row r="12" spans="2:43" ht="15" thickBot="1">
      <c r="B12" s="215" t="s">
        <v>237</v>
      </c>
      <c r="C12" s="206">
        <v>100</v>
      </c>
      <c r="D12" s="206" t="s">
        <v>238</v>
      </c>
      <c r="E12" s="206"/>
      <c r="F12" s="205"/>
      <c r="G12" s="205"/>
      <c r="H12" s="206"/>
      <c r="I12" s="205"/>
      <c r="J12" s="205"/>
      <c r="K12" s="206"/>
      <c r="L12" s="205"/>
      <c r="M12" s="205"/>
      <c r="N12" s="206"/>
      <c r="O12" s="205"/>
      <c r="P12" s="216"/>
      <c r="Q12" s="206"/>
      <c r="R12" s="205"/>
      <c r="S12" s="205"/>
      <c r="T12" s="206"/>
      <c r="U12" s="205"/>
      <c r="V12" s="205"/>
      <c r="W12" s="206">
        <f>$C$12*(COUNT(W5,W7,W8)+1)</f>
        <v>400</v>
      </c>
      <c r="X12" s="205"/>
      <c r="Y12" s="205"/>
      <c r="Z12" s="206"/>
      <c r="AA12" s="205"/>
      <c r="AB12" s="216"/>
      <c r="AC12" s="206">
        <f>$C$12*(COUNT(AC5,AC7,AC8)+1)</f>
        <v>400</v>
      </c>
      <c r="AD12" s="205"/>
      <c r="AE12" s="205"/>
      <c r="AF12" s="206"/>
      <c r="AG12" s="205"/>
      <c r="AH12" s="205"/>
      <c r="AI12" s="206">
        <f>$C$12*(COUNT(AI5,AI7,AI8)+1)</f>
        <v>400</v>
      </c>
      <c r="AJ12" s="205"/>
      <c r="AK12" s="205"/>
      <c r="AL12" s="206"/>
      <c r="AM12" s="205"/>
      <c r="AN12" s="216"/>
      <c r="AO12" s="207">
        <f t="shared" ref="AO12" si="15">SUM(E12:P12)</f>
        <v>0</v>
      </c>
      <c r="AP12" s="207">
        <f t="shared" ref="AP12" si="16">SUM(Q12:AB12)</f>
        <v>400</v>
      </c>
      <c r="AQ12" s="207">
        <f t="shared" ref="AQ12" si="17">SUM(AC12:AN12)</f>
        <v>800</v>
      </c>
    </row>
    <row r="14" spans="2:43">
      <c r="B14" s="113" t="s">
        <v>127</v>
      </c>
    </row>
    <row r="15" spans="2:43" ht="15" thickBot="1"/>
    <row r="16" spans="2:43" ht="15" thickBot="1">
      <c r="B16" s="114" t="s">
        <v>122</v>
      </c>
      <c r="C16" s="115" t="s">
        <v>123</v>
      </c>
      <c r="D16" s="115" t="s">
        <v>126</v>
      </c>
      <c r="E16" s="117" t="s">
        <v>83</v>
      </c>
      <c r="F16" s="117" t="s">
        <v>84</v>
      </c>
      <c r="G16" s="117" t="s">
        <v>85</v>
      </c>
      <c r="H16" s="117" t="s">
        <v>86</v>
      </c>
      <c r="I16" s="117" t="s">
        <v>106</v>
      </c>
      <c r="J16" s="117" t="s">
        <v>87</v>
      </c>
      <c r="K16" s="117" t="s">
        <v>88</v>
      </c>
      <c r="L16" s="117" t="s">
        <v>89</v>
      </c>
      <c r="M16" s="117" t="s">
        <v>90</v>
      </c>
      <c r="N16" s="117" t="s">
        <v>91</v>
      </c>
      <c r="O16" s="117" t="s">
        <v>92</v>
      </c>
      <c r="P16" s="121" t="s">
        <v>93</v>
      </c>
      <c r="Q16" s="117" t="s">
        <v>132</v>
      </c>
      <c r="R16" s="117" t="s">
        <v>133</v>
      </c>
      <c r="S16" s="117" t="s">
        <v>134</v>
      </c>
      <c r="T16" s="117" t="s">
        <v>135</v>
      </c>
      <c r="U16" s="117" t="s">
        <v>136</v>
      </c>
      <c r="V16" s="117" t="s">
        <v>137</v>
      </c>
      <c r="W16" s="117" t="s">
        <v>138</v>
      </c>
      <c r="X16" s="117" t="s">
        <v>139</v>
      </c>
      <c r="Y16" s="117" t="s">
        <v>140</v>
      </c>
      <c r="Z16" s="117" t="s">
        <v>141</v>
      </c>
      <c r="AA16" s="117" t="s">
        <v>142</v>
      </c>
      <c r="AB16" s="121" t="s">
        <v>143</v>
      </c>
      <c r="AC16" s="117" t="s">
        <v>144</v>
      </c>
      <c r="AD16" s="117" t="s">
        <v>145</v>
      </c>
      <c r="AE16" s="117" t="s">
        <v>146</v>
      </c>
      <c r="AF16" s="117" t="s">
        <v>147</v>
      </c>
      <c r="AG16" s="117" t="s">
        <v>148</v>
      </c>
      <c r="AH16" s="117" t="s">
        <v>149</v>
      </c>
      <c r="AI16" s="117" t="s">
        <v>150</v>
      </c>
      <c r="AJ16" s="117" t="s">
        <v>151</v>
      </c>
      <c r="AK16" s="117" t="s">
        <v>152</v>
      </c>
      <c r="AL16" s="117" t="s">
        <v>153</v>
      </c>
      <c r="AM16" s="117" t="s">
        <v>154</v>
      </c>
      <c r="AN16" s="121" t="s">
        <v>155</v>
      </c>
      <c r="AO16" s="122" t="s">
        <v>156</v>
      </c>
      <c r="AP16" s="122" t="s">
        <v>157</v>
      </c>
      <c r="AQ16" s="122" t="s">
        <v>158</v>
      </c>
    </row>
    <row r="17" spans="2:43" ht="15" thickBot="1">
      <c r="B17" s="252" t="s">
        <v>208</v>
      </c>
      <c r="C17" s="253">
        <v>350</v>
      </c>
      <c r="D17" s="254" t="s">
        <v>235</v>
      </c>
      <c r="E17" s="255">
        <f>$C$17*2</f>
        <v>700</v>
      </c>
      <c r="F17" s="255">
        <f t="shared" ref="F17:S17" si="18">$C$17*2</f>
        <v>700</v>
      </c>
      <c r="G17" s="255">
        <f t="shared" si="18"/>
        <v>700</v>
      </c>
      <c r="H17" s="255">
        <f t="shared" si="18"/>
        <v>700</v>
      </c>
      <c r="I17" s="255">
        <f t="shared" si="18"/>
        <v>700</v>
      </c>
      <c r="J17" s="255">
        <f t="shared" si="18"/>
        <v>700</v>
      </c>
      <c r="K17" s="255">
        <f t="shared" si="18"/>
        <v>700</v>
      </c>
      <c r="L17" s="255">
        <f t="shared" si="18"/>
        <v>700</v>
      </c>
      <c r="M17" s="255">
        <f t="shared" si="18"/>
        <v>700</v>
      </c>
      <c r="N17" s="255">
        <f t="shared" si="18"/>
        <v>700</v>
      </c>
      <c r="O17" s="255">
        <f t="shared" si="18"/>
        <v>700</v>
      </c>
      <c r="P17" s="256">
        <f t="shared" si="18"/>
        <v>700</v>
      </c>
      <c r="Q17" s="255">
        <f t="shared" si="18"/>
        <v>700</v>
      </c>
      <c r="R17" s="255">
        <f t="shared" si="18"/>
        <v>700</v>
      </c>
      <c r="S17" s="255">
        <f t="shared" si="18"/>
        <v>700</v>
      </c>
      <c r="T17" s="255">
        <f>$C$17*3</f>
        <v>1050</v>
      </c>
      <c r="U17" s="255">
        <f t="shared" ref="U17:V17" si="19">$C$17*3</f>
        <v>1050</v>
      </c>
      <c r="V17" s="255">
        <f t="shared" si="19"/>
        <v>1050</v>
      </c>
      <c r="W17" s="255">
        <f>$C$17*4</f>
        <v>1400</v>
      </c>
      <c r="X17" s="255">
        <f t="shared" ref="X17:AN17" si="20">$C$17*4</f>
        <v>1400</v>
      </c>
      <c r="Y17" s="255">
        <f t="shared" si="20"/>
        <v>1400</v>
      </c>
      <c r="Z17" s="255">
        <f t="shared" si="20"/>
        <v>1400</v>
      </c>
      <c r="AA17" s="255">
        <f t="shared" si="20"/>
        <v>1400</v>
      </c>
      <c r="AB17" s="255">
        <f t="shared" si="20"/>
        <v>1400</v>
      </c>
      <c r="AC17" s="255">
        <f t="shared" si="20"/>
        <v>1400</v>
      </c>
      <c r="AD17" s="255">
        <f t="shared" si="20"/>
        <v>1400</v>
      </c>
      <c r="AE17" s="255">
        <f t="shared" si="20"/>
        <v>1400</v>
      </c>
      <c r="AF17" s="255">
        <f t="shared" si="20"/>
        <v>1400</v>
      </c>
      <c r="AG17" s="255">
        <f t="shared" si="20"/>
        <v>1400</v>
      </c>
      <c r="AH17" s="255">
        <f t="shared" si="20"/>
        <v>1400</v>
      </c>
      <c r="AI17" s="255">
        <f t="shared" si="20"/>
        <v>1400</v>
      </c>
      <c r="AJ17" s="255">
        <f t="shared" si="20"/>
        <v>1400</v>
      </c>
      <c r="AK17" s="255">
        <f t="shared" si="20"/>
        <v>1400</v>
      </c>
      <c r="AL17" s="255">
        <f t="shared" si="20"/>
        <v>1400</v>
      </c>
      <c r="AM17" s="255">
        <f t="shared" si="20"/>
        <v>1400</v>
      </c>
      <c r="AN17" s="255">
        <f t="shared" si="20"/>
        <v>1400</v>
      </c>
      <c r="AO17" s="257">
        <f>SUM(E17:P17)</f>
        <v>8400</v>
      </c>
      <c r="AP17" s="257">
        <f>SUM(Q17:AB17)</f>
        <v>13650</v>
      </c>
      <c r="AQ17" s="257">
        <f>SUM(AC17:AN17)</f>
        <v>16800</v>
      </c>
    </row>
    <row r="19" spans="2:43">
      <c r="B19" s="113" t="s">
        <v>128</v>
      </c>
    </row>
    <row r="20" spans="2:43" ht="15" thickBot="1"/>
    <row r="21" spans="2:43" ht="15" thickBot="1">
      <c r="B21" s="114" t="s">
        <v>122</v>
      </c>
      <c r="C21" s="115" t="s">
        <v>123</v>
      </c>
      <c r="D21" s="115" t="s">
        <v>126</v>
      </c>
      <c r="E21" s="117" t="s">
        <v>83</v>
      </c>
      <c r="F21" s="117" t="s">
        <v>84</v>
      </c>
      <c r="G21" s="117" t="s">
        <v>85</v>
      </c>
      <c r="H21" s="117" t="s">
        <v>86</v>
      </c>
      <c r="I21" s="117" t="s">
        <v>106</v>
      </c>
      <c r="J21" s="117" t="s">
        <v>87</v>
      </c>
      <c r="K21" s="117" t="s">
        <v>88</v>
      </c>
      <c r="L21" s="117" t="s">
        <v>89</v>
      </c>
      <c r="M21" s="117" t="s">
        <v>90</v>
      </c>
      <c r="N21" s="117" t="s">
        <v>91</v>
      </c>
      <c r="O21" s="117" t="s">
        <v>92</v>
      </c>
      <c r="P21" s="121" t="s">
        <v>93</v>
      </c>
      <c r="Q21" s="117" t="s">
        <v>132</v>
      </c>
      <c r="R21" s="117" t="s">
        <v>133</v>
      </c>
      <c r="S21" s="117" t="s">
        <v>134</v>
      </c>
      <c r="T21" s="117" t="s">
        <v>135</v>
      </c>
      <c r="U21" s="117" t="s">
        <v>136</v>
      </c>
      <c r="V21" s="117" t="s">
        <v>137</v>
      </c>
      <c r="W21" s="117" t="s">
        <v>138</v>
      </c>
      <c r="X21" s="117" t="s">
        <v>139</v>
      </c>
      <c r="Y21" s="117" t="s">
        <v>140</v>
      </c>
      <c r="Z21" s="117" t="s">
        <v>141</v>
      </c>
      <c r="AA21" s="117" t="s">
        <v>142</v>
      </c>
      <c r="AB21" s="121" t="s">
        <v>143</v>
      </c>
      <c r="AC21" s="117" t="s">
        <v>144</v>
      </c>
      <c r="AD21" s="117" t="s">
        <v>145</v>
      </c>
      <c r="AE21" s="117" t="s">
        <v>146</v>
      </c>
      <c r="AF21" s="117" t="s">
        <v>147</v>
      </c>
      <c r="AG21" s="117" t="s">
        <v>148</v>
      </c>
      <c r="AH21" s="117" t="s">
        <v>149</v>
      </c>
      <c r="AI21" s="117" t="s">
        <v>150</v>
      </c>
      <c r="AJ21" s="117" t="s">
        <v>151</v>
      </c>
      <c r="AK21" s="117" t="s">
        <v>152</v>
      </c>
      <c r="AL21" s="117" t="s">
        <v>153</v>
      </c>
      <c r="AM21" s="117" t="s">
        <v>154</v>
      </c>
      <c r="AN21" s="121" t="s">
        <v>155</v>
      </c>
      <c r="AO21" s="122" t="s">
        <v>156</v>
      </c>
      <c r="AP21" s="122" t="s">
        <v>157</v>
      </c>
      <c r="AQ21" s="122" t="s">
        <v>158</v>
      </c>
    </row>
    <row r="22" spans="2:43">
      <c r="B22" s="247" t="s">
        <v>216</v>
      </c>
      <c r="C22" s="248">
        <v>1500</v>
      </c>
      <c r="D22" s="250" t="s">
        <v>125</v>
      </c>
      <c r="E22" s="248">
        <f>$C$22/6*5</f>
        <v>1250</v>
      </c>
      <c r="F22" s="248">
        <f t="shared" ref="F22:G22" si="21">$C$22/6*5</f>
        <v>1250</v>
      </c>
      <c r="G22" s="248">
        <f t="shared" si="21"/>
        <v>1250</v>
      </c>
      <c r="H22" s="248">
        <f t="shared" ref="H22:AB22" si="22">$C$22</f>
        <v>1500</v>
      </c>
      <c r="I22" s="248">
        <f t="shared" si="22"/>
        <v>1500</v>
      </c>
      <c r="J22" s="248">
        <f t="shared" si="22"/>
        <v>1500</v>
      </c>
      <c r="K22" s="248">
        <f t="shared" si="22"/>
        <v>1500</v>
      </c>
      <c r="L22" s="248">
        <f t="shared" si="22"/>
        <v>1500</v>
      </c>
      <c r="M22" s="248">
        <f t="shared" si="22"/>
        <v>1500</v>
      </c>
      <c r="N22" s="248">
        <f t="shared" si="22"/>
        <v>1500</v>
      </c>
      <c r="O22" s="248">
        <f t="shared" si="22"/>
        <v>1500</v>
      </c>
      <c r="P22" s="248">
        <f t="shared" si="22"/>
        <v>1500</v>
      </c>
      <c r="Q22" s="248">
        <f t="shared" si="22"/>
        <v>1500</v>
      </c>
      <c r="R22" s="248">
        <f t="shared" si="22"/>
        <v>1500</v>
      </c>
      <c r="S22" s="248">
        <f t="shared" si="22"/>
        <v>1500</v>
      </c>
      <c r="T22" s="248">
        <f t="shared" si="22"/>
        <v>1500</v>
      </c>
      <c r="U22" s="248">
        <f t="shared" si="22"/>
        <v>1500</v>
      </c>
      <c r="V22" s="248">
        <f t="shared" si="22"/>
        <v>1500</v>
      </c>
      <c r="W22" s="248">
        <f t="shared" si="22"/>
        <v>1500</v>
      </c>
      <c r="X22" s="248">
        <f t="shared" si="22"/>
        <v>1500</v>
      </c>
      <c r="Y22" s="248">
        <f t="shared" si="22"/>
        <v>1500</v>
      </c>
      <c r="Z22" s="248">
        <f t="shared" si="22"/>
        <v>1500</v>
      </c>
      <c r="AA22" s="248">
        <f t="shared" si="22"/>
        <v>1500</v>
      </c>
      <c r="AB22" s="248">
        <f t="shared" si="22"/>
        <v>1500</v>
      </c>
      <c r="AC22" s="248">
        <f>$C$22/3*5</f>
        <v>2500</v>
      </c>
      <c r="AD22" s="248">
        <f t="shared" ref="AD22:AN22" si="23">$C$22/3*5</f>
        <v>2500</v>
      </c>
      <c r="AE22" s="248">
        <f t="shared" si="23"/>
        <v>2500</v>
      </c>
      <c r="AF22" s="248">
        <f t="shared" si="23"/>
        <v>2500</v>
      </c>
      <c r="AG22" s="248">
        <f t="shared" si="23"/>
        <v>2500</v>
      </c>
      <c r="AH22" s="248">
        <f t="shared" si="23"/>
        <v>2500</v>
      </c>
      <c r="AI22" s="248">
        <f t="shared" si="23"/>
        <v>2500</v>
      </c>
      <c r="AJ22" s="248">
        <f t="shared" si="23"/>
        <v>2500</v>
      </c>
      <c r="AK22" s="248">
        <f t="shared" si="23"/>
        <v>2500</v>
      </c>
      <c r="AL22" s="248">
        <f t="shared" si="23"/>
        <v>2500</v>
      </c>
      <c r="AM22" s="248">
        <f t="shared" si="23"/>
        <v>2500</v>
      </c>
      <c r="AN22" s="248">
        <f t="shared" si="23"/>
        <v>2500</v>
      </c>
      <c r="AO22" s="249">
        <f>SUM(E22:P22)</f>
        <v>17250</v>
      </c>
      <c r="AP22" s="249">
        <f>SUM(Q22:AB22)</f>
        <v>18000</v>
      </c>
      <c r="AQ22" s="249">
        <f>SUM(AC22:AN22)</f>
        <v>30000</v>
      </c>
    </row>
    <row r="23" spans="2:43">
      <c r="B23" s="247" t="s">
        <v>217</v>
      </c>
      <c r="C23" s="248">
        <v>1500</v>
      </c>
      <c r="D23" s="250" t="s">
        <v>125</v>
      </c>
      <c r="E23" s="248">
        <f>$C$23/6*5</f>
        <v>1250</v>
      </c>
      <c r="F23" s="248">
        <f>$C$23/6*5</f>
        <v>1250</v>
      </c>
      <c r="G23" s="248">
        <f>$C$23/6*5</f>
        <v>1250</v>
      </c>
      <c r="H23" s="248">
        <f t="shared" ref="H23:AN23" si="24">$C$23</f>
        <v>1500</v>
      </c>
      <c r="I23" s="248">
        <f t="shared" si="24"/>
        <v>1500</v>
      </c>
      <c r="J23" s="248">
        <f t="shared" si="24"/>
        <v>1500</v>
      </c>
      <c r="K23" s="248">
        <f t="shared" si="24"/>
        <v>1500</v>
      </c>
      <c r="L23" s="248">
        <f t="shared" si="24"/>
        <v>1500</v>
      </c>
      <c r="M23" s="248">
        <f t="shared" si="24"/>
        <v>1500</v>
      </c>
      <c r="N23" s="248">
        <f t="shared" si="24"/>
        <v>1500</v>
      </c>
      <c r="O23" s="248">
        <f t="shared" si="24"/>
        <v>1500</v>
      </c>
      <c r="P23" s="248">
        <f t="shared" si="24"/>
        <v>1500</v>
      </c>
      <c r="Q23" s="248">
        <f t="shared" si="24"/>
        <v>1500</v>
      </c>
      <c r="R23" s="248">
        <f t="shared" si="24"/>
        <v>1500</v>
      </c>
      <c r="S23" s="248">
        <f t="shared" si="24"/>
        <v>1500</v>
      </c>
      <c r="T23" s="248">
        <f t="shared" si="24"/>
        <v>1500</v>
      </c>
      <c r="U23" s="248">
        <f t="shared" si="24"/>
        <v>1500</v>
      </c>
      <c r="V23" s="248">
        <f t="shared" si="24"/>
        <v>1500</v>
      </c>
      <c r="W23" s="248">
        <f t="shared" si="24"/>
        <v>1500</v>
      </c>
      <c r="X23" s="248">
        <f t="shared" si="24"/>
        <v>1500</v>
      </c>
      <c r="Y23" s="248">
        <f t="shared" si="24"/>
        <v>1500</v>
      </c>
      <c r="Z23" s="248">
        <f t="shared" si="24"/>
        <v>1500</v>
      </c>
      <c r="AA23" s="248">
        <f t="shared" si="24"/>
        <v>1500</v>
      </c>
      <c r="AB23" s="248">
        <f t="shared" si="24"/>
        <v>1500</v>
      </c>
      <c r="AC23" s="248">
        <f t="shared" si="24"/>
        <v>1500</v>
      </c>
      <c r="AD23" s="248">
        <f t="shared" si="24"/>
        <v>1500</v>
      </c>
      <c r="AE23" s="248">
        <f t="shared" si="24"/>
        <v>1500</v>
      </c>
      <c r="AF23" s="248">
        <f t="shared" si="24"/>
        <v>1500</v>
      </c>
      <c r="AG23" s="248">
        <f t="shared" si="24"/>
        <v>1500</v>
      </c>
      <c r="AH23" s="248">
        <f t="shared" si="24"/>
        <v>1500</v>
      </c>
      <c r="AI23" s="248">
        <f t="shared" si="24"/>
        <v>1500</v>
      </c>
      <c r="AJ23" s="248">
        <f t="shared" si="24"/>
        <v>1500</v>
      </c>
      <c r="AK23" s="248">
        <f t="shared" si="24"/>
        <v>1500</v>
      </c>
      <c r="AL23" s="248">
        <f t="shared" si="24"/>
        <v>1500</v>
      </c>
      <c r="AM23" s="248">
        <f t="shared" si="24"/>
        <v>1500</v>
      </c>
      <c r="AN23" s="248">
        <f t="shared" si="24"/>
        <v>1500</v>
      </c>
      <c r="AO23" s="249">
        <f t="shared" ref="AO23:AO25" si="25">SUM(E23:P23)</f>
        <v>17250</v>
      </c>
      <c r="AP23" s="249">
        <f t="shared" ref="AP23:AP25" si="26">SUM(Q23:AB23)</f>
        <v>18000</v>
      </c>
      <c r="AQ23" s="249">
        <f t="shared" ref="AQ23:AQ25" si="27">SUM(AC23:AN23)</f>
        <v>18000</v>
      </c>
    </row>
    <row r="24" spans="2:43">
      <c r="B24" s="247" t="s">
        <v>218</v>
      </c>
      <c r="C24" s="248">
        <v>700</v>
      </c>
      <c r="D24" s="250" t="s">
        <v>225</v>
      </c>
      <c r="E24" s="248"/>
      <c r="F24" s="248"/>
      <c r="G24" s="248"/>
      <c r="H24" s="248"/>
      <c r="I24" s="248"/>
      <c r="J24" s="248"/>
      <c r="K24" s="248"/>
      <c r="L24" s="248">
        <f>$C$24</f>
        <v>700</v>
      </c>
      <c r="M24" s="248"/>
      <c r="N24" s="248"/>
      <c r="O24" s="248"/>
      <c r="P24" s="248">
        <f>$C$24</f>
        <v>700</v>
      </c>
      <c r="Q24" s="248">
        <v>1000</v>
      </c>
      <c r="R24" s="248"/>
      <c r="S24" s="248"/>
      <c r="T24" s="248"/>
      <c r="U24" s="248"/>
      <c r="V24" s="248"/>
      <c r="W24" s="248"/>
      <c r="X24" s="248">
        <v>700</v>
      </c>
      <c r="Y24" s="248"/>
      <c r="Z24" s="248"/>
      <c r="AA24" s="248"/>
      <c r="AB24" s="120">
        <v>700</v>
      </c>
      <c r="AC24" s="248">
        <v>1000</v>
      </c>
      <c r="AD24" s="248"/>
      <c r="AE24" s="248"/>
      <c r="AF24" s="248">
        <v>1000</v>
      </c>
      <c r="AG24" s="248"/>
      <c r="AH24" s="248"/>
      <c r="AI24" s="248"/>
      <c r="AJ24" s="248">
        <v>1000</v>
      </c>
      <c r="AK24" s="248"/>
      <c r="AL24" s="248"/>
      <c r="AM24" s="248"/>
      <c r="AN24" s="120">
        <v>1000</v>
      </c>
      <c r="AO24" s="249">
        <f t="shared" si="25"/>
        <v>1400</v>
      </c>
      <c r="AP24" s="249">
        <f t="shared" si="26"/>
        <v>2400</v>
      </c>
      <c r="AQ24" s="249">
        <f t="shared" si="27"/>
        <v>4000</v>
      </c>
    </row>
    <row r="25" spans="2:43">
      <c r="B25" s="247" t="s">
        <v>219</v>
      </c>
      <c r="C25" s="248">
        <v>1300</v>
      </c>
      <c r="D25" s="250" t="s">
        <v>225</v>
      </c>
      <c r="E25" s="248"/>
      <c r="F25" s="248"/>
      <c r="G25" s="248"/>
      <c r="H25" s="248"/>
      <c r="I25" s="248"/>
      <c r="J25" s="248"/>
      <c r="K25" s="248"/>
      <c r="L25" s="248"/>
      <c r="M25" s="248">
        <f>$C$25</f>
        <v>1300</v>
      </c>
      <c r="N25" s="248"/>
      <c r="O25" s="248"/>
      <c r="P25" s="120"/>
      <c r="Q25" s="248">
        <v>1000</v>
      </c>
      <c r="R25" s="248"/>
      <c r="S25" s="248"/>
      <c r="T25" s="248"/>
      <c r="U25" s="248"/>
      <c r="V25" s="248"/>
      <c r="W25" s="248"/>
      <c r="X25" s="248"/>
      <c r="Y25" s="248">
        <v>1300</v>
      </c>
      <c r="Z25" s="248"/>
      <c r="AA25" s="248"/>
      <c r="AB25" s="120"/>
      <c r="AC25" s="248">
        <v>1000</v>
      </c>
      <c r="AD25" s="248"/>
      <c r="AE25" s="248"/>
      <c r="AF25" s="248">
        <v>1000</v>
      </c>
      <c r="AG25" s="248"/>
      <c r="AH25" s="248"/>
      <c r="AI25" s="248"/>
      <c r="AJ25" s="248">
        <v>1000</v>
      </c>
      <c r="AK25" s="248"/>
      <c r="AL25" s="248"/>
      <c r="AM25" s="248"/>
      <c r="AN25" s="120"/>
      <c r="AO25" s="249">
        <f t="shared" si="25"/>
        <v>1300</v>
      </c>
      <c r="AP25" s="249">
        <f t="shared" si="26"/>
        <v>2300</v>
      </c>
      <c r="AQ25" s="249">
        <f t="shared" si="27"/>
        <v>3000</v>
      </c>
    </row>
    <row r="26" spans="2:43">
      <c r="B26" s="247" t="s">
        <v>220</v>
      </c>
      <c r="C26" s="248">
        <v>500</v>
      </c>
      <c r="D26" s="250" t="s">
        <v>226</v>
      </c>
      <c r="E26" s="248"/>
      <c r="F26" s="248"/>
      <c r="G26" s="248"/>
      <c r="H26" s="248"/>
      <c r="I26" s="248"/>
      <c r="J26" s="248"/>
      <c r="K26" s="248"/>
      <c r="L26" s="248">
        <f>$C$26</f>
        <v>500</v>
      </c>
      <c r="M26" s="248"/>
      <c r="N26" s="248"/>
      <c r="O26" s="248"/>
      <c r="P26" s="120"/>
      <c r="Q26" s="248"/>
      <c r="R26" s="248"/>
      <c r="S26" s="248"/>
      <c r="T26" s="248"/>
      <c r="U26" s="248"/>
      <c r="V26" s="248"/>
      <c r="W26" s="248"/>
      <c r="X26" s="248">
        <f>$C$26</f>
        <v>500</v>
      </c>
      <c r="Y26" s="248"/>
      <c r="Z26" s="248"/>
      <c r="AA26" s="248"/>
      <c r="AB26" s="120"/>
      <c r="AC26" s="248"/>
      <c r="AD26" s="248"/>
      <c r="AE26" s="248"/>
      <c r="AF26" s="248"/>
      <c r="AG26" s="248"/>
      <c r="AH26" s="248"/>
      <c r="AI26" s="248"/>
      <c r="AJ26" s="248">
        <f>$C$26</f>
        <v>500</v>
      </c>
      <c r="AK26" s="248"/>
      <c r="AL26" s="248"/>
      <c r="AM26" s="248"/>
      <c r="AN26" s="120"/>
      <c r="AO26" s="249">
        <f t="shared" ref="AO26:AO31" si="28">SUM(E26:P26)</f>
        <v>500</v>
      </c>
      <c r="AP26" s="249">
        <f t="shared" ref="AP26:AP31" si="29">SUM(Q26:AB26)</f>
        <v>500</v>
      </c>
      <c r="AQ26" s="249">
        <f t="shared" ref="AQ26:AQ31" si="30">SUM(AC26:AN26)</f>
        <v>500</v>
      </c>
    </row>
    <row r="27" spans="2:43">
      <c r="B27" s="247" t="s">
        <v>221</v>
      </c>
      <c r="C27" s="248">
        <v>1000</v>
      </c>
      <c r="D27" s="250" t="s">
        <v>125</v>
      </c>
      <c r="E27" s="248"/>
      <c r="F27" s="248"/>
      <c r="G27" s="248"/>
      <c r="H27" s="248"/>
      <c r="I27" s="248"/>
      <c r="J27" s="248"/>
      <c r="K27" s="248"/>
      <c r="L27" s="248">
        <f>$C$27</f>
        <v>1000</v>
      </c>
      <c r="M27" s="248">
        <f t="shared" ref="M27:P27" si="31">$C$27</f>
        <v>1000</v>
      </c>
      <c r="N27" s="248">
        <f t="shared" si="31"/>
        <v>1000</v>
      </c>
      <c r="O27" s="248">
        <f t="shared" si="31"/>
        <v>1000</v>
      </c>
      <c r="P27" s="248">
        <f t="shared" si="31"/>
        <v>1000</v>
      </c>
      <c r="Q27" s="248">
        <f>$C$27*2</f>
        <v>2000</v>
      </c>
      <c r="R27" s="248">
        <f t="shared" ref="R27:X27" si="32">$C$27*2</f>
        <v>2000</v>
      </c>
      <c r="S27" s="248">
        <f t="shared" si="32"/>
        <v>2000</v>
      </c>
      <c r="T27" s="248">
        <f t="shared" si="32"/>
        <v>2000</v>
      </c>
      <c r="U27" s="248">
        <f t="shared" si="32"/>
        <v>2000</v>
      </c>
      <c r="V27" s="248">
        <f t="shared" si="32"/>
        <v>2000</v>
      </c>
      <c r="W27" s="248">
        <f t="shared" si="32"/>
        <v>2000</v>
      </c>
      <c r="X27" s="248">
        <f t="shared" si="32"/>
        <v>2000</v>
      </c>
      <c r="Y27" s="248">
        <f>$C$27*3</f>
        <v>3000</v>
      </c>
      <c r="Z27" s="248">
        <f t="shared" ref="Z27:AN27" si="33">$C$27*3</f>
        <v>3000</v>
      </c>
      <c r="AA27" s="248">
        <f t="shared" si="33"/>
        <v>3000</v>
      </c>
      <c r="AB27" s="248">
        <f t="shared" si="33"/>
        <v>3000</v>
      </c>
      <c r="AC27" s="248">
        <f t="shared" si="33"/>
        <v>3000</v>
      </c>
      <c r="AD27" s="248">
        <f t="shared" si="33"/>
        <v>3000</v>
      </c>
      <c r="AE27" s="248">
        <f t="shared" si="33"/>
        <v>3000</v>
      </c>
      <c r="AF27" s="248">
        <f t="shared" si="33"/>
        <v>3000</v>
      </c>
      <c r="AG27" s="248">
        <f t="shared" si="33"/>
        <v>3000</v>
      </c>
      <c r="AH27" s="248">
        <f t="shared" si="33"/>
        <v>3000</v>
      </c>
      <c r="AI27" s="248">
        <f t="shared" si="33"/>
        <v>3000</v>
      </c>
      <c r="AJ27" s="248">
        <f t="shared" si="33"/>
        <v>3000</v>
      </c>
      <c r="AK27" s="248">
        <f t="shared" si="33"/>
        <v>3000</v>
      </c>
      <c r="AL27" s="248">
        <f t="shared" si="33"/>
        <v>3000</v>
      </c>
      <c r="AM27" s="248">
        <f t="shared" si="33"/>
        <v>3000</v>
      </c>
      <c r="AN27" s="248">
        <f t="shared" si="33"/>
        <v>3000</v>
      </c>
      <c r="AO27" s="249">
        <f t="shared" si="28"/>
        <v>5000</v>
      </c>
      <c r="AP27" s="249">
        <f t="shared" si="29"/>
        <v>28000</v>
      </c>
      <c r="AQ27" s="249">
        <f t="shared" si="30"/>
        <v>36000</v>
      </c>
    </row>
    <row r="28" spans="2:43">
      <c r="B28" s="247" t="s">
        <v>222</v>
      </c>
      <c r="C28" s="248">
        <v>500</v>
      </c>
      <c r="D28" s="250" t="s">
        <v>125</v>
      </c>
      <c r="E28" s="248"/>
      <c r="F28" s="248"/>
      <c r="G28" s="248"/>
      <c r="H28" s="248"/>
      <c r="I28" s="248"/>
      <c r="J28" s="248"/>
      <c r="K28" s="248"/>
      <c r="L28" s="248">
        <f>$C$28</f>
        <v>500</v>
      </c>
      <c r="M28" s="248">
        <f t="shared" ref="M28:P28" si="34">$C$28</f>
        <v>500</v>
      </c>
      <c r="N28" s="248">
        <f t="shared" si="34"/>
        <v>500</v>
      </c>
      <c r="O28" s="248">
        <f t="shared" si="34"/>
        <v>500</v>
      </c>
      <c r="P28" s="248">
        <f t="shared" si="34"/>
        <v>500</v>
      </c>
      <c r="Q28" s="248"/>
      <c r="R28" s="248"/>
      <c r="S28" s="248"/>
      <c r="T28" s="248">
        <f t="shared" ref="T28:V28" si="35">$C$28</f>
        <v>500</v>
      </c>
      <c r="U28" s="248">
        <f t="shared" si="35"/>
        <v>500</v>
      </c>
      <c r="V28" s="248">
        <f t="shared" si="35"/>
        <v>500</v>
      </c>
      <c r="W28" s="248"/>
      <c r="X28" s="248"/>
      <c r="Y28" s="248">
        <f t="shared" ref="Y28:AH28" si="36">$C$28</f>
        <v>500</v>
      </c>
      <c r="Z28" s="248">
        <f t="shared" si="36"/>
        <v>500</v>
      </c>
      <c r="AA28" s="248">
        <f t="shared" si="36"/>
        <v>500</v>
      </c>
      <c r="AB28" s="248">
        <f t="shared" si="36"/>
        <v>500</v>
      </c>
      <c r="AC28" s="248">
        <f t="shared" si="36"/>
        <v>500</v>
      </c>
      <c r="AD28" s="248">
        <f t="shared" si="36"/>
        <v>500</v>
      </c>
      <c r="AE28" s="248">
        <f t="shared" si="36"/>
        <v>500</v>
      </c>
      <c r="AF28" s="248">
        <f t="shared" si="36"/>
        <v>500</v>
      </c>
      <c r="AG28" s="248">
        <f t="shared" si="36"/>
        <v>500</v>
      </c>
      <c r="AH28" s="248">
        <f t="shared" si="36"/>
        <v>500</v>
      </c>
      <c r="AI28" s="248"/>
      <c r="AJ28" s="248"/>
      <c r="AK28" s="248">
        <f t="shared" ref="AK28:AN28" si="37">$C$28</f>
        <v>500</v>
      </c>
      <c r="AL28" s="248">
        <f t="shared" si="37"/>
        <v>500</v>
      </c>
      <c r="AM28" s="248">
        <f t="shared" si="37"/>
        <v>500</v>
      </c>
      <c r="AN28" s="248">
        <f t="shared" si="37"/>
        <v>500</v>
      </c>
      <c r="AO28" s="249">
        <f t="shared" si="28"/>
        <v>2500</v>
      </c>
      <c r="AP28" s="249">
        <f t="shared" si="29"/>
        <v>3500</v>
      </c>
      <c r="AQ28" s="249">
        <f t="shared" si="30"/>
        <v>5000</v>
      </c>
    </row>
    <row r="29" spans="2:43">
      <c r="B29" s="247" t="s">
        <v>223</v>
      </c>
      <c r="C29" s="248">
        <v>2000</v>
      </c>
      <c r="D29" s="250" t="s">
        <v>226</v>
      </c>
      <c r="E29" s="248"/>
      <c r="F29" s="248"/>
      <c r="G29" s="248"/>
      <c r="H29" s="248"/>
      <c r="I29" s="248"/>
      <c r="J29" s="248"/>
      <c r="K29" s="248"/>
      <c r="L29" s="248">
        <f>$C$29</f>
        <v>2000</v>
      </c>
      <c r="M29" s="248"/>
      <c r="N29" s="248"/>
      <c r="O29" s="248"/>
      <c r="P29" s="120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120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120"/>
      <c r="AO29" s="249">
        <f t="shared" si="28"/>
        <v>2000</v>
      </c>
      <c r="AP29" s="249">
        <f t="shared" si="29"/>
        <v>0</v>
      </c>
      <c r="AQ29" s="249">
        <f t="shared" si="30"/>
        <v>0</v>
      </c>
    </row>
    <row r="30" spans="2:43">
      <c r="B30" s="247" t="s">
        <v>224</v>
      </c>
      <c r="C30" s="251" t="s">
        <v>225</v>
      </c>
      <c r="D30" s="250" t="s">
        <v>130</v>
      </c>
      <c r="E30" s="248"/>
      <c r="F30" s="248"/>
      <c r="G30" s="248"/>
      <c r="H30" s="248"/>
      <c r="I30" s="248">
        <v>500</v>
      </c>
      <c r="J30" s="248"/>
      <c r="K30" s="248"/>
      <c r="L30" s="248"/>
      <c r="M30" s="248"/>
      <c r="N30" s="248"/>
      <c r="O30" s="248"/>
      <c r="P30" s="120"/>
      <c r="Q30" s="248"/>
      <c r="R30" s="248"/>
      <c r="S30" s="248"/>
      <c r="T30" s="248">
        <v>3000</v>
      </c>
      <c r="U30" s="248"/>
      <c r="V30" s="248"/>
      <c r="W30" s="248"/>
      <c r="X30" s="248"/>
      <c r="Y30" s="248"/>
      <c r="Z30" s="248"/>
      <c r="AA30" s="248"/>
      <c r="AB30" s="120"/>
      <c r="AC30" s="248"/>
      <c r="AD30" s="248"/>
      <c r="AE30" s="248">
        <v>3000</v>
      </c>
      <c r="AF30" s="248"/>
      <c r="AG30" s="248"/>
      <c r="AH30" s="248"/>
      <c r="AI30" s="248">
        <v>3000</v>
      </c>
      <c r="AJ30" s="248"/>
      <c r="AK30" s="248"/>
      <c r="AL30" s="248"/>
      <c r="AM30" s="248"/>
      <c r="AN30" s="120"/>
      <c r="AO30" s="249">
        <f t="shared" si="28"/>
        <v>500</v>
      </c>
      <c r="AP30" s="249">
        <f t="shared" si="29"/>
        <v>3000</v>
      </c>
      <c r="AQ30" s="249">
        <f t="shared" si="30"/>
        <v>6000</v>
      </c>
    </row>
    <row r="31" spans="2:43">
      <c r="B31" s="247" t="s">
        <v>229</v>
      </c>
      <c r="C31" s="251">
        <v>3000</v>
      </c>
      <c r="D31" s="250" t="s">
        <v>225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120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120"/>
      <c r="AC31" s="248"/>
      <c r="AD31" s="248"/>
      <c r="AE31" s="248"/>
      <c r="AF31" s="248"/>
      <c r="AG31" s="248"/>
      <c r="AH31" s="248">
        <f>$C$31/3</f>
        <v>1000</v>
      </c>
      <c r="AI31" s="248">
        <f>$C$31</f>
        <v>3000</v>
      </c>
      <c r="AJ31" s="248">
        <f>$C$31</f>
        <v>3000</v>
      </c>
      <c r="AK31" s="248"/>
      <c r="AL31" s="248"/>
      <c r="AM31" s="248"/>
      <c r="AN31" s="120"/>
      <c r="AO31" s="249">
        <f t="shared" si="28"/>
        <v>0</v>
      </c>
      <c r="AP31" s="249">
        <f t="shared" si="29"/>
        <v>0</v>
      </c>
      <c r="AQ31" s="249">
        <f t="shared" si="30"/>
        <v>7000</v>
      </c>
    </row>
    <row r="32" spans="2:43" ht="15" thickBot="1">
      <c r="B32" s="252" t="s">
        <v>279</v>
      </c>
      <c r="C32" s="253">
        <v>200</v>
      </c>
      <c r="D32" s="254" t="s">
        <v>125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6"/>
      <c r="Q32" s="255"/>
      <c r="R32" s="255">
        <f>$C$32</f>
        <v>200</v>
      </c>
      <c r="S32" s="255">
        <f t="shared" ref="S32:AN32" si="38">$C$32</f>
        <v>200</v>
      </c>
      <c r="T32" s="255">
        <f t="shared" si="38"/>
        <v>200</v>
      </c>
      <c r="U32" s="255">
        <f t="shared" si="38"/>
        <v>200</v>
      </c>
      <c r="V32" s="255">
        <f t="shared" si="38"/>
        <v>200</v>
      </c>
      <c r="W32" s="255">
        <f t="shared" si="38"/>
        <v>200</v>
      </c>
      <c r="X32" s="255">
        <f t="shared" si="38"/>
        <v>200</v>
      </c>
      <c r="Y32" s="255">
        <f t="shared" si="38"/>
        <v>200</v>
      </c>
      <c r="Z32" s="255">
        <f t="shared" si="38"/>
        <v>200</v>
      </c>
      <c r="AA32" s="255">
        <f t="shared" si="38"/>
        <v>200</v>
      </c>
      <c r="AB32" s="255">
        <f t="shared" si="38"/>
        <v>200</v>
      </c>
      <c r="AC32" s="255">
        <f t="shared" si="38"/>
        <v>200</v>
      </c>
      <c r="AD32" s="255">
        <f t="shared" si="38"/>
        <v>200</v>
      </c>
      <c r="AE32" s="255">
        <f t="shared" si="38"/>
        <v>200</v>
      </c>
      <c r="AF32" s="255">
        <f t="shared" si="38"/>
        <v>200</v>
      </c>
      <c r="AG32" s="255">
        <f t="shared" si="38"/>
        <v>200</v>
      </c>
      <c r="AH32" s="255">
        <f t="shared" si="38"/>
        <v>200</v>
      </c>
      <c r="AI32" s="255">
        <f t="shared" si="38"/>
        <v>200</v>
      </c>
      <c r="AJ32" s="255">
        <f t="shared" si="38"/>
        <v>200</v>
      </c>
      <c r="AK32" s="255">
        <f t="shared" si="38"/>
        <v>200</v>
      </c>
      <c r="AL32" s="255">
        <f t="shared" si="38"/>
        <v>200</v>
      </c>
      <c r="AM32" s="255">
        <f t="shared" si="38"/>
        <v>200</v>
      </c>
      <c r="AN32" s="255">
        <f t="shared" si="38"/>
        <v>200</v>
      </c>
      <c r="AO32" s="257">
        <f t="shared" ref="AO32" si="39">SUM(E32:P32)</f>
        <v>0</v>
      </c>
      <c r="AP32" s="257">
        <f t="shared" ref="AP32" si="40">SUM(Q32:AB32)</f>
        <v>2200</v>
      </c>
      <c r="AQ32" s="257">
        <f t="shared" ref="AQ32" si="41">SUM(AC32:AN32)</f>
        <v>2400</v>
      </c>
    </row>
    <row r="34" spans="2:43">
      <c r="B34" s="113" t="s">
        <v>120</v>
      </c>
    </row>
    <row r="35" spans="2:43" ht="15" thickBot="1"/>
    <row r="36" spans="2:43" ht="15" thickBot="1">
      <c r="B36" s="114" t="s">
        <v>122</v>
      </c>
      <c r="C36" s="115" t="s">
        <v>123</v>
      </c>
      <c r="D36" s="115" t="s">
        <v>126</v>
      </c>
      <c r="E36" s="115" t="s">
        <v>83</v>
      </c>
      <c r="F36" s="115" t="s">
        <v>84</v>
      </c>
      <c r="G36" s="115" t="s">
        <v>85</v>
      </c>
      <c r="H36" s="115" t="s">
        <v>86</v>
      </c>
      <c r="I36" s="115" t="s">
        <v>106</v>
      </c>
      <c r="J36" s="115" t="s">
        <v>87</v>
      </c>
      <c r="K36" s="115" t="s">
        <v>88</v>
      </c>
      <c r="L36" s="115" t="s">
        <v>89</v>
      </c>
      <c r="M36" s="115" t="s">
        <v>90</v>
      </c>
      <c r="N36" s="115" t="s">
        <v>91</v>
      </c>
      <c r="O36" s="115" t="s">
        <v>92</v>
      </c>
      <c r="P36" s="115" t="s">
        <v>93</v>
      </c>
      <c r="Q36" s="115" t="s">
        <v>132</v>
      </c>
      <c r="R36" s="115" t="s">
        <v>133</v>
      </c>
      <c r="S36" s="115" t="s">
        <v>134</v>
      </c>
      <c r="T36" s="115" t="s">
        <v>135</v>
      </c>
      <c r="U36" s="115" t="s">
        <v>136</v>
      </c>
      <c r="V36" s="115" t="s">
        <v>137</v>
      </c>
      <c r="W36" s="115" t="s">
        <v>138</v>
      </c>
      <c r="X36" s="115" t="s">
        <v>139</v>
      </c>
      <c r="Y36" s="115" t="s">
        <v>140</v>
      </c>
      <c r="Z36" s="115" t="s">
        <v>141</v>
      </c>
      <c r="AA36" s="115" t="s">
        <v>142</v>
      </c>
      <c r="AB36" s="115" t="s">
        <v>143</v>
      </c>
      <c r="AC36" s="115" t="s">
        <v>144</v>
      </c>
      <c r="AD36" s="115" t="s">
        <v>145</v>
      </c>
      <c r="AE36" s="115" t="s">
        <v>146</v>
      </c>
      <c r="AF36" s="115" t="s">
        <v>147</v>
      </c>
      <c r="AG36" s="115" t="s">
        <v>148</v>
      </c>
      <c r="AH36" s="115" t="s">
        <v>149</v>
      </c>
      <c r="AI36" s="115" t="s">
        <v>150</v>
      </c>
      <c r="AJ36" s="115" t="s">
        <v>151</v>
      </c>
      <c r="AK36" s="115" t="s">
        <v>152</v>
      </c>
      <c r="AL36" s="115" t="s">
        <v>153</v>
      </c>
      <c r="AM36" s="115" t="s">
        <v>154</v>
      </c>
      <c r="AN36" s="116" t="s">
        <v>155</v>
      </c>
      <c r="AO36" s="118" t="s">
        <v>156</v>
      </c>
      <c r="AP36" s="122" t="s">
        <v>157</v>
      </c>
      <c r="AQ36" s="122" t="s">
        <v>158</v>
      </c>
    </row>
    <row r="37" spans="2:43">
      <c r="B37" s="208" t="s">
        <v>207</v>
      </c>
      <c r="C37" s="209">
        <v>150</v>
      </c>
      <c r="D37" s="210" t="s">
        <v>125</v>
      </c>
      <c r="E37" s="211">
        <f>$C$37</f>
        <v>150</v>
      </c>
      <c r="F37" s="211">
        <f t="shared" ref="F37:P37" si="42">$C$37</f>
        <v>150</v>
      </c>
      <c r="G37" s="211">
        <f t="shared" si="42"/>
        <v>150</v>
      </c>
      <c r="H37" s="211">
        <f t="shared" si="42"/>
        <v>150</v>
      </c>
      <c r="I37" s="211">
        <f t="shared" si="42"/>
        <v>150</v>
      </c>
      <c r="J37" s="211">
        <f t="shared" si="42"/>
        <v>150</v>
      </c>
      <c r="K37" s="211">
        <f t="shared" si="42"/>
        <v>150</v>
      </c>
      <c r="L37" s="211">
        <f t="shared" si="42"/>
        <v>150</v>
      </c>
      <c r="M37" s="211">
        <f t="shared" si="42"/>
        <v>150</v>
      </c>
      <c r="N37" s="211">
        <f t="shared" si="42"/>
        <v>150</v>
      </c>
      <c r="O37" s="211">
        <f t="shared" si="42"/>
        <v>150</v>
      </c>
      <c r="P37" s="211">
        <f t="shared" si="42"/>
        <v>150</v>
      </c>
      <c r="Q37" s="211">
        <f>$C$37*2</f>
        <v>300</v>
      </c>
      <c r="R37" s="211">
        <f t="shared" ref="R37:AB37" si="43">$C$37*2</f>
        <v>300</v>
      </c>
      <c r="S37" s="211">
        <f t="shared" si="43"/>
        <v>300</v>
      </c>
      <c r="T37" s="211">
        <f t="shared" si="43"/>
        <v>300</v>
      </c>
      <c r="U37" s="211">
        <f t="shared" si="43"/>
        <v>300</v>
      </c>
      <c r="V37" s="211">
        <f t="shared" si="43"/>
        <v>300</v>
      </c>
      <c r="W37" s="211">
        <f t="shared" si="43"/>
        <v>300</v>
      </c>
      <c r="X37" s="211">
        <f t="shared" si="43"/>
        <v>300</v>
      </c>
      <c r="Y37" s="211">
        <f t="shared" si="43"/>
        <v>300</v>
      </c>
      <c r="Z37" s="211">
        <f t="shared" si="43"/>
        <v>300</v>
      </c>
      <c r="AA37" s="211">
        <f t="shared" si="43"/>
        <v>300</v>
      </c>
      <c r="AB37" s="211">
        <f t="shared" si="43"/>
        <v>300</v>
      </c>
      <c r="AC37" s="211">
        <f>$C$37*3</f>
        <v>450</v>
      </c>
      <c r="AD37" s="211">
        <f t="shared" ref="AD37:AN37" si="44">$C$37*3</f>
        <v>450</v>
      </c>
      <c r="AE37" s="211">
        <f t="shared" si="44"/>
        <v>450</v>
      </c>
      <c r="AF37" s="211">
        <f t="shared" si="44"/>
        <v>450</v>
      </c>
      <c r="AG37" s="211">
        <f t="shared" si="44"/>
        <v>450</v>
      </c>
      <c r="AH37" s="211">
        <f t="shared" si="44"/>
        <v>450</v>
      </c>
      <c r="AI37" s="211">
        <f t="shared" si="44"/>
        <v>450</v>
      </c>
      <c r="AJ37" s="211">
        <f t="shared" si="44"/>
        <v>450</v>
      </c>
      <c r="AK37" s="211">
        <f t="shared" si="44"/>
        <v>450</v>
      </c>
      <c r="AL37" s="211">
        <f t="shared" si="44"/>
        <v>450</v>
      </c>
      <c r="AM37" s="211">
        <f t="shared" si="44"/>
        <v>450</v>
      </c>
      <c r="AN37" s="211">
        <f t="shared" si="44"/>
        <v>450</v>
      </c>
      <c r="AO37" s="217">
        <f>SUM(E37:P37)</f>
        <v>1800</v>
      </c>
      <c r="AP37" s="213">
        <f>SUM(Q37:AB37)</f>
        <v>3600</v>
      </c>
      <c r="AQ37" s="213">
        <f>SUM(AC37:AN37)</f>
        <v>5400</v>
      </c>
    </row>
    <row r="38" spans="2:43">
      <c r="B38" s="208" t="s">
        <v>239</v>
      </c>
      <c r="C38" s="209">
        <v>200</v>
      </c>
      <c r="D38" s="210" t="s">
        <v>130</v>
      </c>
      <c r="E38" s="209">
        <v>200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>
        <f>C38*2</f>
        <v>400</v>
      </c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>
        <f>C38*3</f>
        <v>600</v>
      </c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2"/>
      <c r="AO38" s="217">
        <f t="shared" ref="AO38:AO39" si="45">SUM(E38:P38)</f>
        <v>200</v>
      </c>
      <c r="AP38" s="213">
        <f t="shared" ref="AP38:AP39" si="46">SUM(Q38:AB38)</f>
        <v>400</v>
      </c>
      <c r="AQ38" s="213">
        <f t="shared" ref="AQ38:AQ39" si="47">SUM(AC38:AN38)</f>
        <v>600</v>
      </c>
    </row>
    <row r="39" spans="2:43" ht="15" thickBot="1">
      <c r="B39" s="218" t="s">
        <v>233</v>
      </c>
      <c r="C39" s="219">
        <v>500</v>
      </c>
      <c r="D39" s="220" t="s">
        <v>240</v>
      </c>
      <c r="E39" s="221"/>
      <c r="F39" s="221"/>
      <c r="G39" s="221"/>
      <c r="H39" s="221"/>
      <c r="I39" s="221"/>
      <c r="J39" s="221">
        <f>$C$39</f>
        <v>500</v>
      </c>
      <c r="K39" s="221"/>
      <c r="L39" s="221"/>
      <c r="M39" s="221"/>
      <c r="N39" s="221"/>
      <c r="O39" s="221"/>
      <c r="P39" s="221">
        <f>$C$39</f>
        <v>500</v>
      </c>
      <c r="Q39" s="221"/>
      <c r="R39" s="221"/>
      <c r="S39" s="221"/>
      <c r="T39" s="221"/>
      <c r="U39" s="221"/>
      <c r="V39" s="221">
        <f>$C$39</f>
        <v>500</v>
      </c>
      <c r="W39" s="221"/>
      <c r="X39" s="221"/>
      <c r="Y39" s="221"/>
      <c r="Z39" s="221"/>
      <c r="AA39" s="221"/>
      <c r="AB39" s="221">
        <f>$C$39</f>
        <v>500</v>
      </c>
      <c r="AC39" s="221"/>
      <c r="AD39" s="221"/>
      <c r="AE39" s="221"/>
      <c r="AF39" s="221"/>
      <c r="AG39" s="221"/>
      <c r="AH39" s="221">
        <f>$C$39</f>
        <v>500</v>
      </c>
      <c r="AI39" s="221"/>
      <c r="AJ39" s="221"/>
      <c r="AK39" s="221"/>
      <c r="AL39" s="221"/>
      <c r="AM39" s="221"/>
      <c r="AN39" s="222">
        <f>$C$39</f>
        <v>500</v>
      </c>
      <c r="AO39" s="217">
        <f t="shared" si="45"/>
        <v>1000</v>
      </c>
      <c r="AP39" s="213">
        <f t="shared" si="46"/>
        <v>1000</v>
      </c>
      <c r="AQ39" s="213">
        <f t="shared" si="47"/>
        <v>1000</v>
      </c>
    </row>
    <row r="42" spans="2:43">
      <c r="B42" s="113" t="s">
        <v>129</v>
      </c>
    </row>
    <row r="43" spans="2:43" ht="15" thickBot="1"/>
    <row r="44" spans="2:43" ht="15" thickBot="1">
      <c r="B44" s="114" t="s">
        <v>122</v>
      </c>
      <c r="C44" s="115" t="s">
        <v>123</v>
      </c>
      <c r="D44" s="115" t="s">
        <v>126</v>
      </c>
      <c r="E44" s="117" t="s">
        <v>83</v>
      </c>
      <c r="F44" s="117" t="s">
        <v>84</v>
      </c>
      <c r="G44" s="117" t="s">
        <v>85</v>
      </c>
      <c r="H44" s="117" t="s">
        <v>86</v>
      </c>
      <c r="I44" s="117" t="s">
        <v>106</v>
      </c>
      <c r="J44" s="117" t="s">
        <v>87</v>
      </c>
      <c r="K44" s="117" t="s">
        <v>88</v>
      </c>
      <c r="L44" s="117" t="s">
        <v>89</v>
      </c>
      <c r="M44" s="117" t="s">
        <v>90</v>
      </c>
      <c r="N44" s="117" t="s">
        <v>91</v>
      </c>
      <c r="O44" s="117" t="s">
        <v>92</v>
      </c>
      <c r="P44" s="121" t="s">
        <v>93</v>
      </c>
      <c r="Q44" s="117" t="s">
        <v>132</v>
      </c>
      <c r="R44" s="117" t="s">
        <v>133</v>
      </c>
      <c r="S44" s="117" t="s">
        <v>134</v>
      </c>
      <c r="T44" s="117" t="s">
        <v>135</v>
      </c>
      <c r="U44" s="117" t="s">
        <v>136</v>
      </c>
      <c r="V44" s="117" t="s">
        <v>137</v>
      </c>
      <c r="W44" s="117" t="s">
        <v>138</v>
      </c>
      <c r="X44" s="117" t="s">
        <v>139</v>
      </c>
      <c r="Y44" s="117" t="s">
        <v>140</v>
      </c>
      <c r="Z44" s="117" t="s">
        <v>141</v>
      </c>
      <c r="AA44" s="117" t="s">
        <v>142</v>
      </c>
      <c r="AB44" s="121" t="s">
        <v>143</v>
      </c>
      <c r="AC44" s="117" t="s">
        <v>144</v>
      </c>
      <c r="AD44" s="117" t="s">
        <v>145</v>
      </c>
      <c r="AE44" s="117" t="s">
        <v>146</v>
      </c>
      <c r="AF44" s="117" t="s">
        <v>147</v>
      </c>
      <c r="AG44" s="117" t="s">
        <v>148</v>
      </c>
      <c r="AH44" s="117" t="s">
        <v>149</v>
      </c>
      <c r="AI44" s="117" t="s">
        <v>150</v>
      </c>
      <c r="AJ44" s="117" t="s">
        <v>151</v>
      </c>
      <c r="AK44" s="117" t="s">
        <v>152</v>
      </c>
      <c r="AL44" s="117" t="s">
        <v>153</v>
      </c>
      <c r="AM44" s="117" t="s">
        <v>154</v>
      </c>
      <c r="AN44" s="121" t="s">
        <v>155</v>
      </c>
      <c r="AO44" s="122" t="s">
        <v>156</v>
      </c>
      <c r="AP44" s="122" t="s">
        <v>157</v>
      </c>
      <c r="AQ44" s="122" t="s">
        <v>158</v>
      </c>
    </row>
    <row r="45" spans="2:43">
      <c r="B45" s="185" t="s">
        <v>205</v>
      </c>
      <c r="C45" s="186">
        <v>750</v>
      </c>
      <c r="D45" s="187" t="s">
        <v>124</v>
      </c>
      <c r="E45" s="188">
        <f>$C$45</f>
        <v>750</v>
      </c>
      <c r="F45" s="188"/>
      <c r="G45" s="188"/>
      <c r="H45" s="188">
        <f>$C$45</f>
        <v>750</v>
      </c>
      <c r="I45" s="188"/>
      <c r="J45" s="188"/>
      <c r="K45" s="188">
        <f>$C$45</f>
        <v>750</v>
      </c>
      <c r="L45" s="188"/>
      <c r="M45" s="188"/>
      <c r="N45" s="188">
        <f>$C$45</f>
        <v>750</v>
      </c>
      <c r="O45" s="188"/>
      <c r="P45" s="188"/>
      <c r="Q45" s="188">
        <f>$C$45</f>
        <v>750</v>
      </c>
      <c r="R45" s="188"/>
      <c r="S45" s="188"/>
      <c r="T45" s="188">
        <f>$C$45</f>
        <v>750</v>
      </c>
      <c r="U45" s="188"/>
      <c r="V45" s="188"/>
      <c r="W45" s="188">
        <f>$C$45</f>
        <v>750</v>
      </c>
      <c r="X45" s="188"/>
      <c r="Y45" s="188"/>
      <c r="Z45" s="188">
        <f>$C$45</f>
        <v>750</v>
      </c>
      <c r="AA45" s="188"/>
      <c r="AB45" s="188"/>
      <c r="AC45" s="188">
        <f>$C$45</f>
        <v>750</v>
      </c>
      <c r="AD45" s="188"/>
      <c r="AE45" s="188"/>
      <c r="AF45" s="188">
        <f>$C$45</f>
        <v>750</v>
      </c>
      <c r="AG45" s="188"/>
      <c r="AH45" s="188"/>
      <c r="AI45" s="188">
        <f>$C$45</f>
        <v>750</v>
      </c>
      <c r="AJ45" s="188"/>
      <c r="AK45" s="188"/>
      <c r="AL45" s="188">
        <f>$C$45</f>
        <v>750</v>
      </c>
      <c r="AM45" s="188"/>
      <c r="AN45" s="188"/>
      <c r="AO45" s="123">
        <f>SUM(E45:P45)</f>
        <v>3000</v>
      </c>
      <c r="AP45" s="123">
        <f>SUM(Q45:AB45)</f>
        <v>3000</v>
      </c>
      <c r="AQ45" s="123">
        <f>SUM(AC45:AN45)</f>
        <v>3000</v>
      </c>
    </row>
    <row r="46" spans="2:43">
      <c r="B46" s="185" t="s">
        <v>206</v>
      </c>
      <c r="C46" s="186">
        <v>500</v>
      </c>
      <c r="D46" s="187" t="s">
        <v>125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>
        <f>$C$46</f>
        <v>500</v>
      </c>
      <c r="O46" s="188">
        <f t="shared" ref="O46:AN46" si="48">$C$46</f>
        <v>500</v>
      </c>
      <c r="P46" s="188">
        <f t="shared" si="48"/>
        <v>500</v>
      </c>
      <c r="Q46" s="188">
        <f t="shared" si="48"/>
        <v>500</v>
      </c>
      <c r="R46" s="188">
        <f t="shared" si="48"/>
        <v>500</v>
      </c>
      <c r="S46" s="188">
        <f t="shared" si="48"/>
        <v>500</v>
      </c>
      <c r="T46" s="188">
        <f t="shared" si="48"/>
        <v>500</v>
      </c>
      <c r="U46" s="188">
        <f t="shared" si="48"/>
        <v>500</v>
      </c>
      <c r="V46" s="188">
        <f t="shared" si="48"/>
        <v>500</v>
      </c>
      <c r="W46" s="188">
        <f t="shared" si="48"/>
        <v>500</v>
      </c>
      <c r="X46" s="188">
        <f t="shared" si="48"/>
        <v>500</v>
      </c>
      <c r="Y46" s="188">
        <f t="shared" si="48"/>
        <v>500</v>
      </c>
      <c r="Z46" s="188">
        <f t="shared" si="48"/>
        <v>500</v>
      </c>
      <c r="AA46" s="188">
        <f t="shared" si="48"/>
        <v>500</v>
      </c>
      <c r="AB46" s="188">
        <f t="shared" si="48"/>
        <v>500</v>
      </c>
      <c r="AC46" s="188">
        <f t="shared" si="48"/>
        <v>500</v>
      </c>
      <c r="AD46" s="188">
        <f t="shared" si="48"/>
        <v>500</v>
      </c>
      <c r="AE46" s="188">
        <f t="shared" si="48"/>
        <v>500</v>
      </c>
      <c r="AF46" s="188">
        <f t="shared" si="48"/>
        <v>500</v>
      </c>
      <c r="AG46" s="188">
        <f t="shared" si="48"/>
        <v>500</v>
      </c>
      <c r="AH46" s="188">
        <f t="shared" si="48"/>
        <v>500</v>
      </c>
      <c r="AI46" s="188">
        <f t="shared" si="48"/>
        <v>500</v>
      </c>
      <c r="AJ46" s="188">
        <f t="shared" si="48"/>
        <v>500</v>
      </c>
      <c r="AK46" s="188">
        <f t="shared" si="48"/>
        <v>500</v>
      </c>
      <c r="AL46" s="188">
        <f t="shared" si="48"/>
        <v>500</v>
      </c>
      <c r="AM46" s="188">
        <f t="shared" si="48"/>
        <v>500</v>
      </c>
      <c r="AN46" s="188">
        <f t="shared" si="48"/>
        <v>500</v>
      </c>
      <c r="AO46" s="123">
        <f t="shared" ref="AO46:AO48" si="49">SUM(E46:P46)</f>
        <v>1500</v>
      </c>
      <c r="AP46" s="123">
        <f t="shared" ref="AP46:AP48" si="50">SUM(Q46:AB46)</f>
        <v>6000</v>
      </c>
      <c r="AQ46" s="123">
        <f t="shared" ref="AQ46:AQ48" si="51">SUM(AC46:AN46)</f>
        <v>6000</v>
      </c>
    </row>
    <row r="47" spans="2:43">
      <c r="B47" s="185" t="s">
        <v>209</v>
      </c>
      <c r="C47" s="186">
        <v>50</v>
      </c>
      <c r="D47" s="187" t="s">
        <v>125</v>
      </c>
      <c r="E47" s="188">
        <f>$C$47</f>
        <v>50</v>
      </c>
      <c r="F47" s="188">
        <f t="shared" ref="F47:AN47" si="52">$C$47</f>
        <v>50</v>
      </c>
      <c r="G47" s="188">
        <f t="shared" si="52"/>
        <v>50</v>
      </c>
      <c r="H47" s="188">
        <f t="shared" si="52"/>
        <v>50</v>
      </c>
      <c r="I47" s="188">
        <f t="shared" si="52"/>
        <v>50</v>
      </c>
      <c r="J47" s="188">
        <f t="shared" si="52"/>
        <v>50</v>
      </c>
      <c r="K47" s="188">
        <f t="shared" si="52"/>
        <v>50</v>
      </c>
      <c r="L47" s="188">
        <f t="shared" si="52"/>
        <v>50</v>
      </c>
      <c r="M47" s="188">
        <f t="shared" si="52"/>
        <v>50</v>
      </c>
      <c r="N47" s="188">
        <f t="shared" si="52"/>
        <v>50</v>
      </c>
      <c r="O47" s="188">
        <f t="shared" si="52"/>
        <v>50</v>
      </c>
      <c r="P47" s="188">
        <f t="shared" si="52"/>
        <v>50</v>
      </c>
      <c r="Q47" s="188">
        <f t="shared" si="52"/>
        <v>50</v>
      </c>
      <c r="R47" s="188">
        <f t="shared" si="52"/>
        <v>50</v>
      </c>
      <c r="S47" s="188">
        <f t="shared" si="52"/>
        <v>50</v>
      </c>
      <c r="T47" s="188">
        <f t="shared" si="52"/>
        <v>50</v>
      </c>
      <c r="U47" s="188">
        <f t="shared" si="52"/>
        <v>50</v>
      </c>
      <c r="V47" s="188">
        <f t="shared" si="52"/>
        <v>50</v>
      </c>
      <c r="W47" s="188">
        <f t="shared" si="52"/>
        <v>50</v>
      </c>
      <c r="X47" s="188">
        <f t="shared" si="52"/>
        <v>50</v>
      </c>
      <c r="Y47" s="188">
        <f t="shared" si="52"/>
        <v>50</v>
      </c>
      <c r="Z47" s="188">
        <f t="shared" si="52"/>
        <v>50</v>
      </c>
      <c r="AA47" s="188">
        <f t="shared" si="52"/>
        <v>50</v>
      </c>
      <c r="AB47" s="188">
        <f t="shared" si="52"/>
        <v>50</v>
      </c>
      <c r="AC47" s="188">
        <f t="shared" si="52"/>
        <v>50</v>
      </c>
      <c r="AD47" s="188">
        <f t="shared" si="52"/>
        <v>50</v>
      </c>
      <c r="AE47" s="188">
        <f t="shared" si="52"/>
        <v>50</v>
      </c>
      <c r="AF47" s="188">
        <f t="shared" si="52"/>
        <v>50</v>
      </c>
      <c r="AG47" s="188">
        <f t="shared" si="52"/>
        <v>50</v>
      </c>
      <c r="AH47" s="188">
        <f t="shared" si="52"/>
        <v>50</v>
      </c>
      <c r="AI47" s="188">
        <f t="shared" si="52"/>
        <v>50</v>
      </c>
      <c r="AJ47" s="188">
        <f t="shared" si="52"/>
        <v>50</v>
      </c>
      <c r="AK47" s="188">
        <f t="shared" si="52"/>
        <v>50</v>
      </c>
      <c r="AL47" s="188">
        <f t="shared" si="52"/>
        <v>50</v>
      </c>
      <c r="AM47" s="188">
        <f t="shared" si="52"/>
        <v>50</v>
      </c>
      <c r="AN47" s="188">
        <f t="shared" si="52"/>
        <v>50</v>
      </c>
      <c r="AO47" s="123">
        <f t="shared" si="49"/>
        <v>600</v>
      </c>
      <c r="AP47" s="123">
        <f t="shared" si="50"/>
        <v>600</v>
      </c>
      <c r="AQ47" s="123">
        <f t="shared" si="51"/>
        <v>600</v>
      </c>
    </row>
    <row r="48" spans="2:43">
      <c r="B48" s="185" t="s">
        <v>210</v>
      </c>
      <c r="C48" s="186" t="s">
        <v>211</v>
      </c>
      <c r="D48" s="187"/>
      <c r="E48" s="188"/>
      <c r="F48" s="188"/>
      <c r="G48" s="188"/>
      <c r="H48" s="188"/>
      <c r="I48" s="188">
        <v>2800</v>
      </c>
      <c r="J48" s="188"/>
      <c r="K48" s="188"/>
      <c r="L48" s="188"/>
      <c r="M48" s="188">
        <v>1500</v>
      </c>
      <c r="N48" s="188"/>
      <c r="O48" s="188"/>
      <c r="P48" s="188"/>
      <c r="Q48" s="188">
        <v>1500</v>
      </c>
      <c r="R48" s="188"/>
      <c r="S48" s="188"/>
      <c r="T48" s="188">
        <v>1500</v>
      </c>
      <c r="U48" s="188"/>
      <c r="V48" s="188"/>
      <c r="W48" s="188"/>
      <c r="X48" s="188">
        <v>1500</v>
      </c>
      <c r="Y48" s="188"/>
      <c r="Z48" s="188"/>
      <c r="AA48" s="188"/>
      <c r="AB48" s="188">
        <v>1500</v>
      </c>
      <c r="AC48" s="188">
        <v>1500</v>
      </c>
      <c r="AD48" s="188"/>
      <c r="AE48" s="188"/>
      <c r="AF48" s="188">
        <v>1500</v>
      </c>
      <c r="AG48" s="188"/>
      <c r="AH48" s="188"/>
      <c r="AI48" s="188"/>
      <c r="AJ48" s="188">
        <v>1500</v>
      </c>
      <c r="AK48" s="188"/>
      <c r="AL48" s="188"/>
      <c r="AM48" s="188"/>
      <c r="AN48" s="188">
        <v>1500</v>
      </c>
      <c r="AO48" s="123">
        <f t="shared" si="49"/>
        <v>4300</v>
      </c>
      <c r="AP48" s="123">
        <f t="shared" si="50"/>
        <v>6000</v>
      </c>
      <c r="AQ48" s="123">
        <f t="shared" si="51"/>
        <v>6000</v>
      </c>
    </row>
    <row r="49" spans="2:43">
      <c r="B49" s="185" t="s">
        <v>212</v>
      </c>
      <c r="C49" s="186">
        <v>1750</v>
      </c>
      <c r="D49" s="187" t="s">
        <v>125</v>
      </c>
      <c r="E49" s="188"/>
      <c r="F49" s="188"/>
      <c r="G49" s="188"/>
      <c r="H49" s="188"/>
      <c r="I49" s="188"/>
      <c r="J49" s="188"/>
      <c r="K49" s="188"/>
      <c r="L49" s="188">
        <f>$C$49/2</f>
        <v>875</v>
      </c>
      <c r="M49" s="188">
        <f>$C$49</f>
        <v>1750</v>
      </c>
      <c r="N49" s="188">
        <f>$C$49</f>
        <v>1750</v>
      </c>
      <c r="O49" s="188">
        <f>$C$49</f>
        <v>1750</v>
      </c>
      <c r="P49" s="188">
        <f>$C$49</f>
        <v>1750</v>
      </c>
      <c r="Q49" s="188">
        <f>$C$49/2</f>
        <v>875</v>
      </c>
      <c r="R49" s="188">
        <f>$C$49/2</f>
        <v>875</v>
      </c>
      <c r="S49" s="188">
        <f>$C$49/2</f>
        <v>875</v>
      </c>
      <c r="T49" s="188">
        <f t="shared" ref="T49:AN49" si="53">$C$49</f>
        <v>1750</v>
      </c>
      <c r="U49" s="188">
        <f t="shared" si="53"/>
        <v>1750</v>
      </c>
      <c r="V49" s="188">
        <f t="shared" si="53"/>
        <v>1750</v>
      </c>
      <c r="W49" s="188">
        <f t="shared" si="53"/>
        <v>1750</v>
      </c>
      <c r="X49" s="188">
        <f t="shared" si="53"/>
        <v>1750</v>
      </c>
      <c r="Y49" s="188">
        <f t="shared" si="53"/>
        <v>1750</v>
      </c>
      <c r="Z49" s="188">
        <f t="shared" si="53"/>
        <v>1750</v>
      </c>
      <c r="AA49" s="188">
        <f t="shared" si="53"/>
        <v>1750</v>
      </c>
      <c r="AB49" s="188">
        <f t="shared" si="53"/>
        <v>1750</v>
      </c>
      <c r="AC49" s="188">
        <f t="shared" si="53"/>
        <v>1750</v>
      </c>
      <c r="AD49" s="188">
        <f t="shared" si="53"/>
        <v>1750</v>
      </c>
      <c r="AE49" s="188">
        <f t="shared" si="53"/>
        <v>1750</v>
      </c>
      <c r="AF49" s="188">
        <f t="shared" si="53"/>
        <v>1750</v>
      </c>
      <c r="AG49" s="188">
        <f t="shared" si="53"/>
        <v>1750</v>
      </c>
      <c r="AH49" s="188">
        <f t="shared" si="53"/>
        <v>1750</v>
      </c>
      <c r="AI49" s="188">
        <f t="shared" si="53"/>
        <v>1750</v>
      </c>
      <c r="AJ49" s="188">
        <f t="shared" si="53"/>
        <v>1750</v>
      </c>
      <c r="AK49" s="188">
        <f t="shared" si="53"/>
        <v>1750</v>
      </c>
      <c r="AL49" s="188">
        <f t="shared" si="53"/>
        <v>1750</v>
      </c>
      <c r="AM49" s="188">
        <f t="shared" si="53"/>
        <v>1750</v>
      </c>
      <c r="AN49" s="188">
        <f t="shared" si="53"/>
        <v>1750</v>
      </c>
      <c r="AO49" s="123">
        <f t="shared" ref="AO49:AO51" si="54">SUM(E49:P49)</f>
        <v>7875</v>
      </c>
      <c r="AP49" s="123">
        <f t="shared" ref="AP49:AP51" si="55">SUM(Q49:AB49)</f>
        <v>18375</v>
      </c>
      <c r="AQ49" s="123">
        <f t="shared" ref="AQ49:AQ51" si="56">SUM(AC49:AN49)</f>
        <v>21000</v>
      </c>
    </row>
    <row r="50" spans="2:43">
      <c r="B50" s="185" t="s">
        <v>230</v>
      </c>
      <c r="C50" s="186">
        <v>1000</v>
      </c>
      <c r="D50" s="187" t="s">
        <v>130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>
        <f>$C$50</f>
        <v>1000</v>
      </c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>
        <f>$C$50</f>
        <v>1000</v>
      </c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>
        <f>$C$50</f>
        <v>1000</v>
      </c>
      <c r="AO50" s="123">
        <f t="shared" si="54"/>
        <v>1000</v>
      </c>
      <c r="AP50" s="123">
        <f t="shared" si="55"/>
        <v>1000</v>
      </c>
      <c r="AQ50" s="123">
        <f t="shared" si="56"/>
        <v>1000</v>
      </c>
    </row>
    <row r="51" spans="2:43" ht="15" thickBot="1">
      <c r="B51" s="189" t="s">
        <v>213</v>
      </c>
      <c r="C51" s="192">
        <v>0.03</v>
      </c>
      <c r="D51" s="190" t="s">
        <v>125</v>
      </c>
      <c r="E51" s="191">
        <f>SUM(E5:E12,E17:E17,E22:E31,E37:E39,E45:E50)*$C$51</f>
        <v>130.5</v>
      </c>
      <c r="F51" s="191">
        <f t="shared" ref="F51:AN51" si="57">SUM(F5:F12,F17:F17,F22:F31,F37:F39,F45:F50)*$C$51</f>
        <v>102</v>
      </c>
      <c r="G51" s="191">
        <f t="shared" si="57"/>
        <v>102</v>
      </c>
      <c r="H51" s="191">
        <f t="shared" si="57"/>
        <v>139.5</v>
      </c>
      <c r="I51" s="191">
        <f t="shared" si="57"/>
        <v>216</v>
      </c>
      <c r="J51" s="191">
        <f t="shared" si="57"/>
        <v>132</v>
      </c>
      <c r="K51" s="191">
        <f t="shared" si="57"/>
        <v>199.5</v>
      </c>
      <c r="L51" s="191">
        <f t="shared" si="57"/>
        <v>449.25</v>
      </c>
      <c r="M51" s="191">
        <f t="shared" si="57"/>
        <v>614.4</v>
      </c>
      <c r="N51" s="191">
        <f t="shared" si="57"/>
        <v>567.9</v>
      </c>
      <c r="O51" s="191">
        <f t="shared" si="57"/>
        <v>545.4</v>
      </c>
      <c r="P51" s="191">
        <f t="shared" si="57"/>
        <v>671.4</v>
      </c>
      <c r="Q51" s="191">
        <f t="shared" si="57"/>
        <v>738.15</v>
      </c>
      <c r="R51" s="191">
        <f t="shared" si="57"/>
        <v>689.55</v>
      </c>
      <c r="S51" s="191">
        <f t="shared" si="57"/>
        <v>689.55</v>
      </c>
      <c r="T51" s="191">
        <f t="shared" si="57"/>
        <v>898.8</v>
      </c>
      <c r="U51" s="191">
        <f t="shared" si="57"/>
        <v>801.3</v>
      </c>
      <c r="V51" s="191">
        <f t="shared" si="57"/>
        <v>816.3</v>
      </c>
      <c r="W51" s="191">
        <f t="shared" si="57"/>
        <v>891.3</v>
      </c>
      <c r="X51" s="191">
        <f t="shared" si="57"/>
        <v>877.8</v>
      </c>
      <c r="Y51" s="191">
        <f t="shared" si="57"/>
        <v>820.8</v>
      </c>
      <c r="Z51" s="191">
        <f t="shared" si="57"/>
        <v>804.3</v>
      </c>
      <c r="AA51" s="191">
        <f t="shared" si="57"/>
        <v>932.69999999999993</v>
      </c>
      <c r="AB51" s="191">
        <f t="shared" si="57"/>
        <v>1133.7</v>
      </c>
      <c r="AC51" s="191">
        <f t="shared" si="57"/>
        <v>1304.7</v>
      </c>
      <c r="AD51" s="191">
        <f t="shared" si="57"/>
        <v>997.19999999999993</v>
      </c>
      <c r="AE51" s="191">
        <f t="shared" si="57"/>
        <v>1087.2</v>
      </c>
      <c r="AF51" s="191">
        <f t="shared" si="57"/>
        <v>1124.7</v>
      </c>
      <c r="AG51" s="191">
        <f t="shared" si="57"/>
        <v>1087.2</v>
      </c>
      <c r="AH51" s="191">
        <f t="shared" si="57"/>
        <v>1132.2</v>
      </c>
      <c r="AI51" s="191">
        <f t="shared" si="57"/>
        <v>1346.7</v>
      </c>
      <c r="AJ51" s="191">
        <f t="shared" si="57"/>
        <v>1192.2</v>
      </c>
      <c r="AK51" s="191">
        <f t="shared" si="57"/>
        <v>997.19999999999993</v>
      </c>
      <c r="AL51" s="191">
        <f t="shared" si="57"/>
        <v>1019.6999999999999</v>
      </c>
      <c r="AM51" s="191">
        <f t="shared" si="57"/>
        <v>997.19999999999993</v>
      </c>
      <c r="AN51" s="191">
        <f t="shared" si="57"/>
        <v>1207.2</v>
      </c>
      <c r="AO51" s="124">
        <f t="shared" si="54"/>
        <v>3869.8500000000004</v>
      </c>
      <c r="AP51" s="124">
        <f t="shared" si="55"/>
        <v>10094.250000000002</v>
      </c>
      <c r="AQ51" s="124">
        <f t="shared" si="56"/>
        <v>13493.400000000003</v>
      </c>
    </row>
    <row r="53" spans="2:43">
      <c r="B53" s="113" t="s">
        <v>129</v>
      </c>
    </row>
    <row r="54" spans="2:43" ht="15" thickBot="1"/>
    <row r="55" spans="2:43" ht="15" thickBot="1">
      <c r="B55" s="114" t="s">
        <v>122</v>
      </c>
      <c r="C55" s="115" t="s">
        <v>123</v>
      </c>
      <c r="D55" s="115" t="s">
        <v>126</v>
      </c>
      <c r="E55" s="117" t="s">
        <v>83</v>
      </c>
      <c r="F55" s="117" t="s">
        <v>84</v>
      </c>
      <c r="G55" s="117" t="s">
        <v>85</v>
      </c>
      <c r="H55" s="117" t="s">
        <v>86</v>
      </c>
      <c r="I55" s="117" t="s">
        <v>106</v>
      </c>
      <c r="J55" s="117" t="s">
        <v>87</v>
      </c>
      <c r="K55" s="117" t="s">
        <v>88</v>
      </c>
      <c r="L55" s="117" t="s">
        <v>89</v>
      </c>
      <c r="M55" s="117" t="s">
        <v>90</v>
      </c>
      <c r="N55" s="117" t="s">
        <v>91</v>
      </c>
      <c r="O55" s="117" t="s">
        <v>92</v>
      </c>
      <c r="P55" s="121" t="s">
        <v>93</v>
      </c>
      <c r="Q55" s="117" t="s">
        <v>132</v>
      </c>
      <c r="R55" s="117" t="s">
        <v>133</v>
      </c>
      <c r="S55" s="117" t="s">
        <v>134</v>
      </c>
      <c r="T55" s="117" t="s">
        <v>135</v>
      </c>
      <c r="U55" s="117" t="s">
        <v>136</v>
      </c>
      <c r="V55" s="117" t="s">
        <v>137</v>
      </c>
      <c r="W55" s="117" t="s">
        <v>138</v>
      </c>
      <c r="X55" s="117" t="s">
        <v>139</v>
      </c>
      <c r="Y55" s="117" t="s">
        <v>140</v>
      </c>
      <c r="Z55" s="117" t="s">
        <v>141</v>
      </c>
      <c r="AA55" s="117" t="s">
        <v>142</v>
      </c>
      <c r="AB55" s="121" t="s">
        <v>143</v>
      </c>
      <c r="AC55" s="117" t="s">
        <v>144</v>
      </c>
      <c r="AD55" s="117" t="s">
        <v>145</v>
      </c>
      <c r="AE55" s="117" t="s">
        <v>146</v>
      </c>
      <c r="AF55" s="117" t="s">
        <v>147</v>
      </c>
      <c r="AG55" s="117" t="s">
        <v>148</v>
      </c>
      <c r="AH55" s="117" t="s">
        <v>149</v>
      </c>
      <c r="AI55" s="117" t="s">
        <v>150</v>
      </c>
      <c r="AJ55" s="117" t="s">
        <v>151</v>
      </c>
      <c r="AK55" s="117" t="s">
        <v>152</v>
      </c>
      <c r="AL55" s="117" t="s">
        <v>153</v>
      </c>
      <c r="AM55" s="117" t="s">
        <v>154</v>
      </c>
      <c r="AN55" s="121" t="s">
        <v>155</v>
      </c>
      <c r="AO55" s="122" t="s">
        <v>156</v>
      </c>
      <c r="AP55" s="122" t="s">
        <v>157</v>
      </c>
      <c r="AQ55" s="122" t="s">
        <v>158</v>
      </c>
    </row>
    <row r="56" spans="2:43">
      <c r="B56" s="185" t="s">
        <v>284</v>
      </c>
      <c r="C56" s="186" t="s">
        <v>225</v>
      </c>
      <c r="D56" s="264" t="s">
        <v>285</v>
      </c>
      <c r="E56" s="188"/>
      <c r="F56" s="188"/>
      <c r="G56" s="188"/>
      <c r="H56" s="188"/>
      <c r="I56" s="188"/>
      <c r="J56" s="188"/>
      <c r="K56" s="188">
        <f>-SUM(Leningen!C16)</f>
        <v>0</v>
      </c>
      <c r="L56" s="188">
        <f>-SUM(Leningen!D16)</f>
        <v>76.437353398062214</v>
      </c>
      <c r="M56" s="188">
        <f>-SUM(Leningen!E16)</f>
        <v>76.437353398062214</v>
      </c>
      <c r="N56" s="188">
        <f>-SUM(Leningen!F16,Leningen!C34)</f>
        <v>76.437353398062214</v>
      </c>
      <c r="O56" s="188">
        <f>-SUM(Leningen!G16,Leningen!D34)</f>
        <v>323.06433062843121</v>
      </c>
      <c r="P56" s="188">
        <f>-SUM(Leningen!H16,Leningen!E34)</f>
        <v>323.06433062843121</v>
      </c>
      <c r="Q56" s="188">
        <f>-SUM(Leningen!I16,Leningen!F34)</f>
        <v>323.06433062843121</v>
      </c>
      <c r="R56" s="188">
        <f>-SUM(Leningen!J16,Leningen!G34)</f>
        <v>323.06433062843121</v>
      </c>
      <c r="S56" s="188">
        <f>-SUM(Leningen!K16,Leningen!H34)</f>
        <v>323.06433062843121</v>
      </c>
      <c r="T56" s="188">
        <f>-SUM(Leningen!L16,Leningen!I34)</f>
        <v>323.06433062843121</v>
      </c>
      <c r="U56" s="188">
        <f>-SUM(Leningen!M16,Leningen!J34)</f>
        <v>323.06433062843121</v>
      </c>
      <c r="V56" s="188">
        <f>-SUM(Leningen!N16,Leningen!K34)</f>
        <v>323.06433062843121</v>
      </c>
      <c r="W56" s="188">
        <f>-SUM(Leningen!O16,Leningen!L34)</f>
        <v>323.06433062843121</v>
      </c>
      <c r="X56" s="188">
        <f>-SUM(Leningen!P16,Leningen!M34)</f>
        <v>323.06433062843121</v>
      </c>
      <c r="Y56" s="188">
        <f>-SUM(Leningen!Q16,Leningen!N34)</f>
        <v>323.06433062843121</v>
      </c>
      <c r="Z56" s="188">
        <f>-SUM(Leningen!R16,Leningen!O34)</f>
        <v>316.50476697407089</v>
      </c>
      <c r="AA56" s="188">
        <f>-SUM(Leningen!S16,Leningen!P34)</f>
        <v>309.92902566615044</v>
      </c>
      <c r="AB56" s="188">
        <f>-SUM(Leningen!T16,Leningen!Q34)</f>
        <v>303.33706680621185</v>
      </c>
      <c r="AC56" s="188">
        <f>-SUM(Leningen!U16,Leningen!R34)</f>
        <v>296.72885039739617</v>
      </c>
      <c r="AD56" s="188">
        <f>-SUM(Leningen!V16,Leningen!S34)</f>
        <v>290.10433634420292</v>
      </c>
      <c r="AE56" s="188">
        <f>-SUM(Leningen!W16,Leningen!T34)</f>
        <v>283.46348445224453</v>
      </c>
      <c r="AF56" s="188">
        <f>-SUM(Leningen!X16,Leningen!U34)</f>
        <v>276.80625442800169</v>
      </c>
      <c r="AG56" s="188">
        <f>-SUM(Leningen!Y16,Leningen!V34)</f>
        <v>270.13260587858372</v>
      </c>
      <c r="AH56" s="188">
        <f>-SUM(Leningen!Z16,Leningen!W34)</f>
        <v>263.44249831147704</v>
      </c>
      <c r="AI56" s="188">
        <f>-SUM(Leningen!AA16,Leningen!X34)</f>
        <v>256.73589113430421</v>
      </c>
      <c r="AJ56" s="188">
        <f>-SUM(Leningen!AB16,Leningen!Y34)</f>
        <v>250.01274365457562</v>
      </c>
      <c r="AK56" s="188">
        <f>-SUM(Leningen!AC16,Leningen!Z34)</f>
        <v>243.27301507944298</v>
      </c>
      <c r="AL56" s="188">
        <f>-SUM(Leningen!AD16,Leningen!AA34)</f>
        <v>236.51666451545157</v>
      </c>
      <c r="AM56" s="188">
        <f>-SUM(Leningen!AE16,Leningen!AB34)</f>
        <v>229.74365096829365</v>
      </c>
      <c r="AN56" s="188">
        <f>-SUM(Leningen!AF16,Leningen!AC34)</f>
        <v>222.95393334255618</v>
      </c>
      <c r="AO56" s="123">
        <f>SUM(E56:P56)</f>
        <v>875.44072145104906</v>
      </c>
      <c r="AP56" s="123">
        <f>SUM(Q56:AB56)</f>
        <v>3837.3498351023136</v>
      </c>
      <c r="AQ56" s="123">
        <f>SUM(AC56:AN56)</f>
        <v>3119.9139285065303</v>
      </c>
    </row>
    <row r="58" spans="2:43">
      <c r="B58" s="113" t="s">
        <v>48</v>
      </c>
    </row>
    <row r="59" spans="2:43" ht="15" thickBot="1"/>
    <row r="60" spans="2:43" ht="15" thickBot="1">
      <c r="B60" s="114" t="s">
        <v>122</v>
      </c>
      <c r="C60" s="115" t="s">
        <v>123</v>
      </c>
      <c r="D60" s="115" t="s">
        <v>126</v>
      </c>
      <c r="E60" s="117" t="s">
        <v>83</v>
      </c>
      <c r="F60" s="117" t="s">
        <v>84</v>
      </c>
      <c r="G60" s="117" t="s">
        <v>85</v>
      </c>
      <c r="H60" s="117" t="s">
        <v>86</v>
      </c>
      <c r="I60" s="117" t="s">
        <v>106</v>
      </c>
      <c r="J60" s="117" t="s">
        <v>87</v>
      </c>
      <c r="K60" s="117" t="s">
        <v>88</v>
      </c>
      <c r="L60" s="117" t="s">
        <v>89</v>
      </c>
      <c r="M60" s="117" t="s">
        <v>90</v>
      </c>
      <c r="N60" s="117" t="s">
        <v>91</v>
      </c>
      <c r="O60" s="117" t="s">
        <v>92</v>
      </c>
      <c r="P60" s="121" t="s">
        <v>93</v>
      </c>
      <c r="Q60" s="117" t="s">
        <v>132</v>
      </c>
      <c r="R60" s="117" t="s">
        <v>133</v>
      </c>
      <c r="S60" s="117" t="s">
        <v>134</v>
      </c>
      <c r="T60" s="117" t="s">
        <v>135</v>
      </c>
      <c r="U60" s="117" t="s">
        <v>136</v>
      </c>
      <c r="V60" s="117" t="s">
        <v>137</v>
      </c>
      <c r="W60" s="117" t="s">
        <v>138</v>
      </c>
      <c r="X60" s="117" t="s">
        <v>139</v>
      </c>
      <c r="Y60" s="117" t="s">
        <v>140</v>
      </c>
      <c r="Z60" s="117" t="s">
        <v>141</v>
      </c>
      <c r="AA60" s="117" t="s">
        <v>142</v>
      </c>
      <c r="AB60" s="121" t="s">
        <v>143</v>
      </c>
      <c r="AC60" s="117" t="s">
        <v>144</v>
      </c>
      <c r="AD60" s="117" t="s">
        <v>145</v>
      </c>
      <c r="AE60" s="117" t="s">
        <v>146</v>
      </c>
      <c r="AF60" s="117" t="s">
        <v>147</v>
      </c>
      <c r="AG60" s="117" t="s">
        <v>148</v>
      </c>
      <c r="AH60" s="117" t="s">
        <v>149</v>
      </c>
      <c r="AI60" s="117" t="s">
        <v>150</v>
      </c>
      <c r="AJ60" s="117" t="s">
        <v>151</v>
      </c>
      <c r="AK60" s="117" t="s">
        <v>152</v>
      </c>
      <c r="AL60" s="117" t="s">
        <v>153</v>
      </c>
      <c r="AM60" s="117" t="s">
        <v>154</v>
      </c>
      <c r="AN60" s="121" t="s">
        <v>155</v>
      </c>
      <c r="AO60" s="122" t="s">
        <v>156</v>
      </c>
      <c r="AP60" s="122" t="s">
        <v>157</v>
      </c>
      <c r="AQ60" s="122" t="s">
        <v>158</v>
      </c>
    </row>
    <row r="61" spans="2:43" ht="15" thickBot="1">
      <c r="B61" s="203" t="s">
        <v>228</v>
      </c>
      <c r="C61" s="204" t="s">
        <v>225</v>
      </c>
      <c r="D61" s="205" t="s">
        <v>225</v>
      </c>
      <c r="E61" s="206"/>
      <c r="F61" s="206"/>
      <c r="G61" s="206"/>
      <c r="H61" s="206"/>
      <c r="I61" s="206"/>
      <c r="J61" s="206"/>
      <c r="K61" s="206">
        <f>10500+12500</f>
        <v>23000</v>
      </c>
      <c r="L61" s="206"/>
      <c r="M61" s="206">
        <v>10000</v>
      </c>
      <c r="N61" s="206"/>
      <c r="O61" s="206"/>
      <c r="P61" s="206"/>
      <c r="Q61" s="206">
        <v>50000</v>
      </c>
      <c r="R61" s="206"/>
      <c r="S61" s="206"/>
      <c r="T61" s="206">
        <v>15000</v>
      </c>
      <c r="U61" s="206"/>
      <c r="V61" s="206">
        <v>15000</v>
      </c>
      <c r="W61" s="206"/>
      <c r="X61" s="206"/>
      <c r="Y61" s="206">
        <v>5000</v>
      </c>
      <c r="Z61" s="206"/>
      <c r="AA61" s="206"/>
      <c r="AB61" s="206">
        <v>5000</v>
      </c>
      <c r="AC61" s="206">
        <v>7000</v>
      </c>
      <c r="AD61" s="206"/>
      <c r="AE61" s="206">
        <v>7000</v>
      </c>
      <c r="AF61" s="206"/>
      <c r="AG61" s="206">
        <v>7000</v>
      </c>
      <c r="AH61" s="206"/>
      <c r="AI61" s="206">
        <v>7000</v>
      </c>
      <c r="AJ61" s="206"/>
      <c r="AK61" s="206">
        <v>7000</v>
      </c>
      <c r="AL61" s="206"/>
      <c r="AM61" s="206">
        <v>7000</v>
      </c>
      <c r="AN61" s="206"/>
      <c r="AO61" s="207">
        <f>SUM(E61:P61)</f>
        <v>33000</v>
      </c>
      <c r="AP61" s="207">
        <f>SUM(Q61:AB61)</f>
        <v>90000</v>
      </c>
      <c r="AQ61" s="207">
        <f>SUM(AC61:AN61)</f>
        <v>42000</v>
      </c>
    </row>
    <row r="62" spans="2:43" ht="15" thickBot="1"/>
    <row r="63" spans="2:43" ht="15" thickBot="1">
      <c r="B63" s="114" t="s">
        <v>3</v>
      </c>
      <c r="C63" s="115" t="s">
        <v>123</v>
      </c>
      <c r="D63" s="115" t="s">
        <v>126</v>
      </c>
      <c r="E63" s="117" t="s">
        <v>83</v>
      </c>
      <c r="F63" s="117" t="s">
        <v>84</v>
      </c>
      <c r="G63" s="117" t="s">
        <v>85</v>
      </c>
      <c r="H63" s="117" t="s">
        <v>86</v>
      </c>
      <c r="I63" s="117" t="s">
        <v>106</v>
      </c>
      <c r="J63" s="117" t="s">
        <v>87</v>
      </c>
      <c r="K63" s="117" t="s">
        <v>88</v>
      </c>
      <c r="L63" s="117" t="s">
        <v>89</v>
      </c>
      <c r="M63" s="117" t="s">
        <v>90</v>
      </c>
      <c r="N63" s="117" t="s">
        <v>91</v>
      </c>
      <c r="O63" s="117" t="s">
        <v>92</v>
      </c>
      <c r="P63" s="121" t="s">
        <v>93</v>
      </c>
      <c r="Q63" s="117" t="s">
        <v>132</v>
      </c>
      <c r="R63" s="117" t="s">
        <v>133</v>
      </c>
      <c r="S63" s="117" t="s">
        <v>134</v>
      </c>
      <c r="T63" s="117" t="s">
        <v>135</v>
      </c>
      <c r="U63" s="117" t="s">
        <v>136</v>
      </c>
      <c r="V63" s="117" t="s">
        <v>137</v>
      </c>
      <c r="W63" s="117" t="s">
        <v>138</v>
      </c>
      <c r="X63" s="117" t="s">
        <v>139</v>
      </c>
      <c r="Y63" s="117" t="s">
        <v>140</v>
      </c>
      <c r="Z63" s="117" t="s">
        <v>141</v>
      </c>
      <c r="AA63" s="117" t="s">
        <v>142</v>
      </c>
      <c r="AB63" s="121" t="s">
        <v>143</v>
      </c>
      <c r="AC63" s="117" t="s">
        <v>144</v>
      </c>
      <c r="AD63" s="117" t="s">
        <v>145</v>
      </c>
      <c r="AE63" s="117" t="s">
        <v>146</v>
      </c>
      <c r="AF63" s="117" t="s">
        <v>147</v>
      </c>
      <c r="AG63" s="117" t="s">
        <v>148</v>
      </c>
      <c r="AH63" s="117" t="s">
        <v>149</v>
      </c>
      <c r="AI63" s="117" t="s">
        <v>150</v>
      </c>
      <c r="AJ63" s="117" t="s">
        <v>151</v>
      </c>
      <c r="AK63" s="117" t="s">
        <v>152</v>
      </c>
      <c r="AL63" s="117" t="s">
        <v>153</v>
      </c>
      <c r="AM63" s="117" t="s">
        <v>154</v>
      </c>
      <c r="AN63" s="121" t="s">
        <v>155</v>
      </c>
      <c r="AO63" s="122" t="s">
        <v>156</v>
      </c>
      <c r="AP63" s="122" t="s">
        <v>157</v>
      </c>
      <c r="AQ63" s="122" t="s">
        <v>158</v>
      </c>
    </row>
    <row r="64" spans="2:43" ht="15" thickBot="1">
      <c r="B64" s="203" t="s">
        <v>231</v>
      </c>
      <c r="C64" s="204" t="s">
        <v>281</v>
      </c>
      <c r="D64" s="205"/>
      <c r="E64" s="206"/>
      <c r="F64" s="206"/>
      <c r="G64" s="206"/>
      <c r="H64" s="206"/>
      <c r="I64" s="206"/>
      <c r="J64" s="206"/>
      <c r="K64" s="206">
        <f>J64+K61/10/4</f>
        <v>575</v>
      </c>
      <c r="L64" s="206">
        <f>K64+L61/10/4</f>
        <v>575</v>
      </c>
      <c r="M64" s="206">
        <f>L64+M61/10/4</f>
        <v>825</v>
      </c>
      <c r="N64" s="206">
        <f>M64+N61/10/3</f>
        <v>825</v>
      </c>
      <c r="O64" s="206">
        <f>N64</f>
        <v>825</v>
      </c>
      <c r="P64" s="206">
        <f>O64</f>
        <v>825</v>
      </c>
      <c r="Q64" s="206">
        <f>SUM(E61:P61)/5/12+Q61/10/12</f>
        <v>966.66666666666674</v>
      </c>
      <c r="R64" s="206">
        <f>Q64</f>
        <v>966.66666666666674</v>
      </c>
      <c r="S64" s="206">
        <f>R64</f>
        <v>966.66666666666674</v>
      </c>
      <c r="T64" s="206">
        <f>S64+T61/10/9</f>
        <v>1133.3333333333335</v>
      </c>
      <c r="U64" s="206">
        <f>T64</f>
        <v>1133.3333333333335</v>
      </c>
      <c r="V64" s="206">
        <f>U64+V61/10/7</f>
        <v>1347.6190476190477</v>
      </c>
      <c r="W64" s="206">
        <f>V64</f>
        <v>1347.6190476190477</v>
      </c>
      <c r="X64" s="206">
        <f>W64</f>
        <v>1347.6190476190477</v>
      </c>
      <c r="Y64" s="206">
        <f>X64+Y61/10/4</f>
        <v>1472.6190476190477</v>
      </c>
      <c r="Z64" s="206">
        <f>Y64</f>
        <v>1472.6190476190477</v>
      </c>
      <c r="AA64" s="206">
        <f>Z64</f>
        <v>1472.6190476190477</v>
      </c>
      <c r="AB64" s="206">
        <f>AA64+AB61/10</f>
        <v>1972.6190476190477</v>
      </c>
      <c r="AC64" s="206">
        <f>AB64+AC61/10/12</f>
        <v>2030.952380952381</v>
      </c>
      <c r="AD64" s="206">
        <f>AC64</f>
        <v>2030.952380952381</v>
      </c>
      <c r="AE64" s="206">
        <f>AD64+AE61/10/10</f>
        <v>2100.9523809523807</v>
      </c>
      <c r="AF64" s="206">
        <f>AE64</f>
        <v>2100.9523809523807</v>
      </c>
      <c r="AG64" s="206">
        <f>AF64+AG61/10/8</f>
        <v>2188.4523809523807</v>
      </c>
      <c r="AH64" s="206">
        <f>AG64</f>
        <v>2188.4523809523807</v>
      </c>
      <c r="AI64" s="206">
        <f>AH64+AI61/10/6</f>
        <v>2305.1190476190473</v>
      </c>
      <c r="AJ64" s="206">
        <f>AI64</f>
        <v>2305.1190476190473</v>
      </c>
      <c r="AK64" s="206">
        <f>AJ64+AK61/10/4</f>
        <v>2480.1190476190473</v>
      </c>
      <c r="AL64" s="206">
        <f>AK64</f>
        <v>2480.1190476190473</v>
      </c>
      <c r="AM64" s="206">
        <f>AL64+AM61/10/2</f>
        <v>2830.1190476190473</v>
      </c>
      <c r="AN64" s="206">
        <f>AM64</f>
        <v>2830.1190476190473</v>
      </c>
      <c r="AO64" s="207">
        <f>SUM(E64:P64)</f>
        <v>4450</v>
      </c>
      <c r="AP64" s="207">
        <f>SUM(Q64:AB64)</f>
        <v>15600</v>
      </c>
      <c r="AQ64" s="207">
        <f>SUM(AC64:AN64)</f>
        <v>27871.428571428565</v>
      </c>
    </row>
    <row r="66" spans="3:3">
      <c r="C66" s="125"/>
    </row>
  </sheetData>
  <hyperlinks>
    <hyperlink ref="D56" location="Leningen!A1" display="Leningen!A1"/>
  </hyperlinks>
  <pageMargins left="0.7" right="0.7" top="0.75" bottom="0.75" header="0.3" footer="0.3"/>
  <pageSetup paperSize="9" scale="76" fitToHeight="0" orientation="landscape"/>
  <ignoredErrors>
    <ignoredError sqref="AQ5 AQ24 AP24:AP25 AQ17 AO48:AQ48" formulaRange="1"/>
    <ignoredError sqref="AO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showGridLines="0" topLeftCell="A34" workbookViewId="0">
      <selection activeCell="S50" sqref="S50"/>
    </sheetView>
  </sheetViews>
  <sheetFormatPr baseColWidth="10" defaultRowHeight="14" x14ac:dyDescent="0"/>
  <cols>
    <col min="1" max="1" width="5.6640625" style="73" customWidth="1"/>
    <col min="2" max="2" width="19.6640625" style="73" customWidth="1"/>
    <col min="3" max="3" width="7.33203125" style="73" customWidth="1"/>
    <col min="4" max="16384" width="10.83203125" style="73"/>
  </cols>
  <sheetData>
    <row r="1" spans="2:16" ht="15" thickBot="1"/>
    <row r="2" spans="2:16" ht="15" thickBot="1">
      <c r="B2" s="267" t="s">
        <v>289</v>
      </c>
    </row>
    <row r="3" spans="2:16" ht="15" customHeight="1"/>
    <row r="4" spans="2:16">
      <c r="B4" s="269" t="s">
        <v>311</v>
      </c>
    </row>
    <row r="5" spans="2:16" ht="15" thickBot="1"/>
    <row r="6" spans="2:16">
      <c r="B6" s="316">
        <v>2018</v>
      </c>
      <c r="C6" s="317"/>
      <c r="D6" s="322" t="s">
        <v>174</v>
      </c>
      <c r="E6" s="304"/>
      <c r="F6" s="304"/>
      <c r="G6" s="304" t="s">
        <v>175</v>
      </c>
      <c r="H6" s="304"/>
      <c r="I6" s="304"/>
      <c r="J6" s="304" t="s">
        <v>176</v>
      </c>
      <c r="K6" s="304"/>
      <c r="L6" s="304"/>
      <c r="M6" s="304" t="s">
        <v>177</v>
      </c>
      <c r="N6" s="304"/>
      <c r="O6" s="304"/>
      <c r="P6" s="323" t="s">
        <v>178</v>
      </c>
    </row>
    <row r="7" spans="2:16">
      <c r="B7" s="326" t="s">
        <v>291</v>
      </c>
      <c r="C7" s="327"/>
      <c r="D7" s="145" t="s">
        <v>179</v>
      </c>
      <c r="E7" s="271" t="s">
        <v>180</v>
      </c>
      <c r="F7" s="271" t="s">
        <v>181</v>
      </c>
      <c r="G7" s="271" t="s">
        <v>182</v>
      </c>
      <c r="H7" s="271" t="s">
        <v>183</v>
      </c>
      <c r="I7" s="271" t="s">
        <v>184</v>
      </c>
      <c r="J7" s="271" t="s">
        <v>185</v>
      </c>
      <c r="K7" s="271" t="s">
        <v>186</v>
      </c>
      <c r="L7" s="271" t="s">
        <v>187</v>
      </c>
      <c r="M7" s="271" t="s">
        <v>188</v>
      </c>
      <c r="N7" s="271" t="s">
        <v>189</v>
      </c>
      <c r="O7" s="271" t="s">
        <v>190</v>
      </c>
      <c r="P7" s="325"/>
    </row>
    <row r="8" spans="2:16">
      <c r="B8" s="275" t="s">
        <v>294</v>
      </c>
      <c r="C8" s="270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>
        <v>2</v>
      </c>
      <c r="O8" s="268">
        <v>2</v>
      </c>
      <c r="P8" s="272">
        <f>SUM(D8:O8)</f>
        <v>4</v>
      </c>
    </row>
    <row r="9" spans="2:16">
      <c r="B9" s="275" t="s">
        <v>297</v>
      </c>
      <c r="C9" s="270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>
        <v>2</v>
      </c>
      <c r="O9" s="268">
        <v>10</v>
      </c>
      <c r="P9" s="272">
        <f>SUM(D9:O9)</f>
        <v>12</v>
      </c>
    </row>
    <row r="10" spans="2:16" ht="28">
      <c r="B10" s="273" t="s">
        <v>298</v>
      </c>
      <c r="C10" s="274">
        <v>250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>
        <v>2</v>
      </c>
      <c r="O10" s="268">
        <f t="shared" ref="O10" si="0">O8*O9*$C$10</f>
        <v>5000</v>
      </c>
      <c r="P10" s="272">
        <f>SUM(D10:O10)</f>
        <v>5002</v>
      </c>
    </row>
    <row r="11" spans="2:16">
      <c r="B11" s="275" t="s">
        <v>292</v>
      </c>
      <c r="C11" s="276">
        <v>0.25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>
        <v>2</v>
      </c>
      <c r="O11" s="268">
        <f t="shared" ref="O11" si="1">O10*$C$11</f>
        <v>1250</v>
      </c>
      <c r="P11" s="272">
        <f>SUM(D11:O11)</f>
        <v>1252</v>
      </c>
    </row>
    <row r="12" spans="2:16" ht="15" thickBot="1">
      <c r="B12" s="194" t="s">
        <v>293</v>
      </c>
      <c r="C12" s="277">
        <v>0.05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68">
        <v>2</v>
      </c>
      <c r="O12" s="278">
        <f t="shared" ref="O12" si="2">O11*$C$12</f>
        <v>62.5</v>
      </c>
      <c r="P12" s="279">
        <f>SUM(D12:O12)</f>
        <v>64.5</v>
      </c>
    </row>
    <row r="13" spans="2:16" ht="15" thickBot="1"/>
    <row r="14" spans="2:16">
      <c r="B14" s="316">
        <v>2019</v>
      </c>
      <c r="C14" s="317"/>
      <c r="D14" s="322" t="s">
        <v>174</v>
      </c>
      <c r="E14" s="304"/>
      <c r="F14" s="304"/>
      <c r="G14" s="304" t="s">
        <v>175</v>
      </c>
      <c r="H14" s="304"/>
      <c r="I14" s="304"/>
      <c r="J14" s="304" t="s">
        <v>176</v>
      </c>
      <c r="K14" s="304"/>
      <c r="L14" s="304"/>
      <c r="M14" s="304" t="s">
        <v>177</v>
      </c>
      <c r="N14" s="304"/>
      <c r="O14" s="304"/>
      <c r="P14" s="323" t="s">
        <v>196</v>
      </c>
    </row>
    <row r="15" spans="2:16">
      <c r="B15" s="326" t="s">
        <v>291</v>
      </c>
      <c r="C15" s="327"/>
      <c r="D15" s="145" t="s">
        <v>179</v>
      </c>
      <c r="E15" s="271" t="s">
        <v>180</v>
      </c>
      <c r="F15" s="271" t="s">
        <v>181</v>
      </c>
      <c r="G15" s="271" t="s">
        <v>182</v>
      </c>
      <c r="H15" s="271" t="s">
        <v>183</v>
      </c>
      <c r="I15" s="271" t="s">
        <v>184</v>
      </c>
      <c r="J15" s="271" t="s">
        <v>185</v>
      </c>
      <c r="K15" s="271" t="s">
        <v>186</v>
      </c>
      <c r="L15" s="271" t="s">
        <v>187</v>
      </c>
      <c r="M15" s="271" t="s">
        <v>188</v>
      </c>
      <c r="N15" s="271" t="s">
        <v>189</v>
      </c>
      <c r="O15" s="271" t="s">
        <v>190</v>
      </c>
      <c r="P15" s="325"/>
    </row>
    <row r="16" spans="2:16">
      <c r="B16" s="275" t="s">
        <v>294</v>
      </c>
      <c r="C16" s="270"/>
      <c r="D16" s="268">
        <v>2</v>
      </c>
      <c r="E16" s="268">
        <v>2</v>
      </c>
      <c r="F16" s="268">
        <v>2</v>
      </c>
      <c r="G16" s="268">
        <v>2</v>
      </c>
      <c r="H16" s="268">
        <v>2</v>
      </c>
      <c r="I16" s="268">
        <v>2</v>
      </c>
      <c r="J16" s="268">
        <v>2</v>
      </c>
      <c r="K16" s="268">
        <v>2</v>
      </c>
      <c r="L16" s="268">
        <v>4</v>
      </c>
      <c r="M16" s="268">
        <v>4</v>
      </c>
      <c r="N16" s="268">
        <v>4</v>
      </c>
      <c r="O16" s="268">
        <v>4</v>
      </c>
      <c r="P16" s="272">
        <f>SUM(D16:O16)</f>
        <v>32</v>
      </c>
    </row>
    <row r="17" spans="2:16">
      <c r="B17" s="275" t="s">
        <v>297</v>
      </c>
      <c r="C17" s="270"/>
      <c r="D17" s="268">
        <v>10</v>
      </c>
      <c r="E17" s="268">
        <v>10</v>
      </c>
      <c r="F17" s="268">
        <v>10</v>
      </c>
      <c r="G17" s="268">
        <v>10</v>
      </c>
      <c r="H17" s="268">
        <v>10</v>
      </c>
      <c r="I17" s="268">
        <v>10</v>
      </c>
      <c r="J17" s="268">
        <v>10</v>
      </c>
      <c r="K17" s="268">
        <v>10</v>
      </c>
      <c r="L17" s="268">
        <v>10</v>
      </c>
      <c r="M17" s="268">
        <v>10</v>
      </c>
      <c r="N17" s="268">
        <v>10</v>
      </c>
      <c r="O17" s="268">
        <v>10</v>
      </c>
      <c r="P17" s="272">
        <f t="shared" ref="P17:P18" si="3">SUM(D17:O17)</f>
        <v>120</v>
      </c>
    </row>
    <row r="18" spans="2:16" ht="28">
      <c r="B18" s="273" t="s">
        <v>298</v>
      </c>
      <c r="C18" s="274">
        <v>250</v>
      </c>
      <c r="D18" s="268">
        <f>D16*D17*$C$18</f>
        <v>5000</v>
      </c>
      <c r="E18" s="268">
        <f t="shared" ref="E18:O18" si="4">E16*E17*$C$18</f>
        <v>5000</v>
      </c>
      <c r="F18" s="268">
        <f t="shared" si="4"/>
        <v>5000</v>
      </c>
      <c r="G18" s="268">
        <f t="shared" si="4"/>
        <v>5000</v>
      </c>
      <c r="H18" s="268">
        <f t="shared" si="4"/>
        <v>5000</v>
      </c>
      <c r="I18" s="268">
        <f t="shared" si="4"/>
        <v>5000</v>
      </c>
      <c r="J18" s="268">
        <f t="shared" si="4"/>
        <v>5000</v>
      </c>
      <c r="K18" s="268">
        <f t="shared" si="4"/>
        <v>5000</v>
      </c>
      <c r="L18" s="268">
        <f t="shared" si="4"/>
        <v>10000</v>
      </c>
      <c r="M18" s="268">
        <f t="shared" si="4"/>
        <v>10000</v>
      </c>
      <c r="N18" s="268">
        <f t="shared" si="4"/>
        <v>10000</v>
      </c>
      <c r="O18" s="268">
        <f t="shared" si="4"/>
        <v>10000</v>
      </c>
      <c r="P18" s="272">
        <f t="shared" si="3"/>
        <v>80000</v>
      </c>
    </row>
    <row r="19" spans="2:16">
      <c r="B19" s="275" t="s">
        <v>292</v>
      </c>
      <c r="C19" s="276">
        <v>0.25</v>
      </c>
      <c r="D19" s="268">
        <f>D18*$C$19</f>
        <v>1250</v>
      </c>
      <c r="E19" s="268">
        <f t="shared" ref="E19:O19" si="5">E18*$C$19</f>
        <v>1250</v>
      </c>
      <c r="F19" s="268">
        <f t="shared" si="5"/>
        <v>1250</v>
      </c>
      <c r="G19" s="268">
        <f t="shared" si="5"/>
        <v>1250</v>
      </c>
      <c r="H19" s="268">
        <f t="shared" si="5"/>
        <v>1250</v>
      </c>
      <c r="I19" s="268">
        <f t="shared" si="5"/>
        <v>1250</v>
      </c>
      <c r="J19" s="268">
        <f t="shared" si="5"/>
        <v>1250</v>
      </c>
      <c r="K19" s="268">
        <f t="shared" si="5"/>
        <v>1250</v>
      </c>
      <c r="L19" s="268">
        <f t="shared" si="5"/>
        <v>2500</v>
      </c>
      <c r="M19" s="268">
        <f t="shared" si="5"/>
        <v>2500</v>
      </c>
      <c r="N19" s="268">
        <f t="shared" si="5"/>
        <v>2500</v>
      </c>
      <c r="O19" s="268">
        <f t="shared" si="5"/>
        <v>2500</v>
      </c>
      <c r="P19" s="272">
        <f>SUM(D19:O19)</f>
        <v>20000</v>
      </c>
    </row>
    <row r="20" spans="2:16" ht="15" thickBot="1">
      <c r="B20" s="194" t="s">
        <v>293</v>
      </c>
      <c r="C20" s="283">
        <v>5.5E-2</v>
      </c>
      <c r="D20" s="278">
        <f>D19*$C$20</f>
        <v>68.75</v>
      </c>
      <c r="E20" s="278">
        <f t="shared" ref="E20:O20" si="6">E19*$C$20</f>
        <v>68.75</v>
      </c>
      <c r="F20" s="278">
        <f t="shared" si="6"/>
        <v>68.75</v>
      </c>
      <c r="G20" s="278">
        <f t="shared" si="6"/>
        <v>68.75</v>
      </c>
      <c r="H20" s="278">
        <f t="shared" si="6"/>
        <v>68.75</v>
      </c>
      <c r="I20" s="278">
        <f t="shared" si="6"/>
        <v>68.75</v>
      </c>
      <c r="J20" s="278">
        <f t="shared" si="6"/>
        <v>68.75</v>
      </c>
      <c r="K20" s="278">
        <f t="shared" si="6"/>
        <v>68.75</v>
      </c>
      <c r="L20" s="278">
        <f t="shared" si="6"/>
        <v>137.5</v>
      </c>
      <c r="M20" s="278">
        <f t="shared" si="6"/>
        <v>137.5</v>
      </c>
      <c r="N20" s="278">
        <f t="shared" si="6"/>
        <v>137.5</v>
      </c>
      <c r="O20" s="278">
        <f t="shared" si="6"/>
        <v>137.5</v>
      </c>
      <c r="P20" s="279">
        <f>SUM(D20:O20)</f>
        <v>1100</v>
      </c>
    </row>
    <row r="21" spans="2:16" ht="15" thickBot="1"/>
    <row r="22" spans="2:16">
      <c r="B22" s="316">
        <v>2020</v>
      </c>
      <c r="C22" s="317"/>
      <c r="D22" s="322" t="s">
        <v>174</v>
      </c>
      <c r="E22" s="304"/>
      <c r="F22" s="304"/>
      <c r="G22" s="304" t="s">
        <v>175</v>
      </c>
      <c r="H22" s="304"/>
      <c r="I22" s="304"/>
      <c r="J22" s="304" t="s">
        <v>176</v>
      </c>
      <c r="K22" s="304"/>
      <c r="L22" s="304"/>
      <c r="M22" s="304" t="s">
        <v>177</v>
      </c>
      <c r="N22" s="304"/>
      <c r="O22" s="304"/>
      <c r="P22" s="323" t="s">
        <v>178</v>
      </c>
    </row>
    <row r="23" spans="2:16">
      <c r="B23" s="326" t="s">
        <v>291</v>
      </c>
      <c r="C23" s="327"/>
      <c r="D23" s="145" t="s">
        <v>179</v>
      </c>
      <c r="E23" s="271" t="s">
        <v>180</v>
      </c>
      <c r="F23" s="271" t="s">
        <v>181</v>
      </c>
      <c r="G23" s="271" t="s">
        <v>182</v>
      </c>
      <c r="H23" s="271" t="s">
        <v>183</v>
      </c>
      <c r="I23" s="271" t="s">
        <v>184</v>
      </c>
      <c r="J23" s="271" t="s">
        <v>185</v>
      </c>
      <c r="K23" s="271" t="s">
        <v>186</v>
      </c>
      <c r="L23" s="271" t="s">
        <v>187</v>
      </c>
      <c r="M23" s="271" t="s">
        <v>188</v>
      </c>
      <c r="N23" s="271" t="s">
        <v>189</v>
      </c>
      <c r="O23" s="271" t="s">
        <v>190</v>
      </c>
      <c r="P23" s="325"/>
    </row>
    <row r="24" spans="2:16">
      <c r="B24" s="275" t="s">
        <v>294</v>
      </c>
      <c r="C24" s="270"/>
      <c r="D24" s="268">
        <v>4</v>
      </c>
      <c r="E24" s="268">
        <v>4</v>
      </c>
      <c r="F24" s="268">
        <v>4</v>
      </c>
      <c r="G24" s="268">
        <v>4</v>
      </c>
      <c r="H24" s="268">
        <v>4</v>
      </c>
      <c r="I24" s="268">
        <v>4</v>
      </c>
      <c r="J24" s="268">
        <v>4</v>
      </c>
      <c r="K24" s="268">
        <v>4</v>
      </c>
      <c r="L24" s="268">
        <v>4</v>
      </c>
      <c r="M24" s="268">
        <v>4</v>
      </c>
      <c r="N24" s="268">
        <v>4</v>
      </c>
      <c r="O24" s="268">
        <v>4</v>
      </c>
      <c r="P24" s="272">
        <f>SUM(D24:O24)</f>
        <v>48</v>
      </c>
    </row>
    <row r="25" spans="2:16">
      <c r="B25" s="275" t="s">
        <v>297</v>
      </c>
      <c r="C25" s="270"/>
      <c r="D25" s="268">
        <v>10</v>
      </c>
      <c r="E25" s="268">
        <v>10</v>
      </c>
      <c r="F25" s="268">
        <v>10</v>
      </c>
      <c r="G25" s="268">
        <v>10</v>
      </c>
      <c r="H25" s="268">
        <v>10</v>
      </c>
      <c r="I25" s="268">
        <v>10</v>
      </c>
      <c r="J25" s="268">
        <v>10</v>
      </c>
      <c r="K25" s="268">
        <v>10</v>
      </c>
      <c r="L25" s="268">
        <v>10</v>
      </c>
      <c r="M25" s="268">
        <v>10</v>
      </c>
      <c r="N25" s="268">
        <v>10</v>
      </c>
      <c r="O25" s="268">
        <v>10</v>
      </c>
      <c r="P25" s="272">
        <f t="shared" ref="P25:P26" si="7">SUM(D25:O25)</f>
        <v>120</v>
      </c>
    </row>
    <row r="26" spans="2:16" ht="28">
      <c r="B26" s="273" t="s">
        <v>298</v>
      </c>
      <c r="C26" s="274">
        <v>250</v>
      </c>
      <c r="D26" s="268">
        <f>D24*D25*$C$26</f>
        <v>10000</v>
      </c>
      <c r="E26" s="268">
        <f t="shared" ref="E26:O26" si="8">E24*E25*$C$26</f>
        <v>10000</v>
      </c>
      <c r="F26" s="268">
        <f t="shared" si="8"/>
        <v>10000</v>
      </c>
      <c r="G26" s="268">
        <f t="shared" si="8"/>
        <v>10000</v>
      </c>
      <c r="H26" s="268">
        <f t="shared" si="8"/>
        <v>10000</v>
      </c>
      <c r="I26" s="268">
        <f t="shared" si="8"/>
        <v>10000</v>
      </c>
      <c r="J26" s="268">
        <f t="shared" si="8"/>
        <v>10000</v>
      </c>
      <c r="K26" s="268">
        <f t="shared" si="8"/>
        <v>10000</v>
      </c>
      <c r="L26" s="268">
        <f t="shared" si="8"/>
        <v>10000</v>
      </c>
      <c r="M26" s="268">
        <f t="shared" si="8"/>
        <v>10000</v>
      </c>
      <c r="N26" s="268">
        <f t="shared" si="8"/>
        <v>10000</v>
      </c>
      <c r="O26" s="268">
        <f t="shared" si="8"/>
        <v>10000</v>
      </c>
      <c r="P26" s="272">
        <f t="shared" si="7"/>
        <v>120000</v>
      </c>
    </row>
    <row r="27" spans="2:16">
      <c r="B27" s="275" t="s">
        <v>292</v>
      </c>
      <c r="C27" s="276">
        <v>0.25</v>
      </c>
      <c r="D27" s="268">
        <f>D26*$C$27</f>
        <v>2500</v>
      </c>
      <c r="E27" s="268">
        <f t="shared" ref="E27:O27" si="9">E26*$C$27</f>
        <v>2500</v>
      </c>
      <c r="F27" s="268">
        <f t="shared" si="9"/>
        <v>2500</v>
      </c>
      <c r="G27" s="268">
        <f t="shared" si="9"/>
        <v>2500</v>
      </c>
      <c r="H27" s="268">
        <f t="shared" si="9"/>
        <v>2500</v>
      </c>
      <c r="I27" s="268">
        <f t="shared" si="9"/>
        <v>2500</v>
      </c>
      <c r="J27" s="268">
        <f t="shared" si="9"/>
        <v>2500</v>
      </c>
      <c r="K27" s="268">
        <f t="shared" si="9"/>
        <v>2500</v>
      </c>
      <c r="L27" s="268">
        <f t="shared" si="9"/>
        <v>2500</v>
      </c>
      <c r="M27" s="268">
        <f t="shared" si="9"/>
        <v>2500</v>
      </c>
      <c r="N27" s="268">
        <f t="shared" si="9"/>
        <v>2500</v>
      </c>
      <c r="O27" s="268">
        <f t="shared" si="9"/>
        <v>2500</v>
      </c>
      <c r="P27" s="272">
        <f>SUM(D27:O27)</f>
        <v>30000</v>
      </c>
    </row>
    <row r="28" spans="2:16" ht="15" thickBot="1">
      <c r="B28" s="194" t="s">
        <v>293</v>
      </c>
      <c r="C28" s="277">
        <v>0.06</v>
      </c>
      <c r="D28" s="278">
        <f>D27*$C$28</f>
        <v>150</v>
      </c>
      <c r="E28" s="278">
        <f t="shared" ref="E28:O28" si="10">E27*$C$28</f>
        <v>150</v>
      </c>
      <c r="F28" s="278">
        <f t="shared" si="10"/>
        <v>150</v>
      </c>
      <c r="G28" s="278">
        <f t="shared" si="10"/>
        <v>150</v>
      </c>
      <c r="H28" s="278">
        <f t="shared" si="10"/>
        <v>150</v>
      </c>
      <c r="I28" s="278">
        <f t="shared" si="10"/>
        <v>150</v>
      </c>
      <c r="J28" s="278">
        <f t="shared" si="10"/>
        <v>150</v>
      </c>
      <c r="K28" s="278">
        <f t="shared" si="10"/>
        <v>150</v>
      </c>
      <c r="L28" s="278">
        <f t="shared" si="10"/>
        <v>150</v>
      </c>
      <c r="M28" s="278">
        <f t="shared" si="10"/>
        <v>150</v>
      </c>
      <c r="N28" s="278">
        <f t="shared" si="10"/>
        <v>150</v>
      </c>
      <c r="O28" s="278">
        <f t="shared" si="10"/>
        <v>150</v>
      </c>
      <c r="P28" s="279">
        <f>SUM(D28:O28)</f>
        <v>1800</v>
      </c>
    </row>
    <row r="30" spans="2:16" ht="15" thickBot="1"/>
    <row r="31" spans="2:16" ht="15" thickBot="1">
      <c r="B31" s="267" t="s">
        <v>290</v>
      </c>
    </row>
    <row r="33" spans="2:16">
      <c r="B33" s="269" t="s">
        <v>303</v>
      </c>
    </row>
    <row r="34" spans="2:16" ht="15" thickBot="1"/>
    <row r="35" spans="2:16">
      <c r="B35" s="316">
        <v>2018</v>
      </c>
      <c r="C35" s="317"/>
      <c r="D35" s="322" t="s">
        <v>174</v>
      </c>
      <c r="E35" s="304"/>
      <c r="F35" s="304"/>
      <c r="G35" s="304" t="s">
        <v>175</v>
      </c>
      <c r="H35" s="304"/>
      <c r="I35" s="304"/>
      <c r="J35" s="304" t="s">
        <v>176</v>
      </c>
      <c r="K35" s="304"/>
      <c r="L35" s="304"/>
      <c r="M35" s="304" t="s">
        <v>177</v>
      </c>
      <c r="N35" s="304"/>
      <c r="O35" s="304"/>
      <c r="P35" s="323" t="s">
        <v>178</v>
      </c>
    </row>
    <row r="36" spans="2:16">
      <c r="B36" s="326" t="s">
        <v>291</v>
      </c>
      <c r="C36" s="327"/>
      <c r="D36" s="145" t="s">
        <v>179</v>
      </c>
      <c r="E36" s="271" t="s">
        <v>180</v>
      </c>
      <c r="F36" s="271" t="s">
        <v>181</v>
      </c>
      <c r="G36" s="271" t="s">
        <v>182</v>
      </c>
      <c r="H36" s="271" t="s">
        <v>183</v>
      </c>
      <c r="I36" s="271" t="s">
        <v>184</v>
      </c>
      <c r="J36" s="271" t="s">
        <v>185</v>
      </c>
      <c r="K36" s="271" t="s">
        <v>186</v>
      </c>
      <c r="L36" s="271" t="s">
        <v>187</v>
      </c>
      <c r="M36" s="271" t="s">
        <v>188</v>
      </c>
      <c r="N36" s="271" t="s">
        <v>189</v>
      </c>
      <c r="O36" s="271" t="s">
        <v>190</v>
      </c>
      <c r="P36" s="325"/>
    </row>
    <row r="37" spans="2:16">
      <c r="B37" s="275" t="s">
        <v>295</v>
      </c>
      <c r="C37" s="270"/>
      <c r="D37" s="268"/>
      <c r="E37" s="268"/>
      <c r="F37" s="268"/>
      <c r="G37" s="268"/>
      <c r="H37" s="268"/>
      <c r="I37" s="268"/>
      <c r="J37" s="268"/>
      <c r="K37" s="268"/>
      <c r="L37" s="268">
        <v>1.5</v>
      </c>
      <c r="M37" s="268">
        <v>1.5</v>
      </c>
      <c r="N37" s="268">
        <v>1.5</v>
      </c>
      <c r="O37" s="268">
        <v>1.5</v>
      </c>
      <c r="P37" s="272">
        <f>SUM(D37:O37)</f>
        <v>6</v>
      </c>
    </row>
    <row r="38" spans="2:16">
      <c r="B38" s="273" t="s">
        <v>296</v>
      </c>
      <c r="C38" s="274">
        <v>60</v>
      </c>
      <c r="D38" s="268"/>
      <c r="E38" s="268"/>
      <c r="F38" s="268"/>
      <c r="G38" s="268"/>
      <c r="H38" s="268"/>
      <c r="I38" s="268"/>
      <c r="J38" s="268"/>
      <c r="K38" s="268"/>
      <c r="L38" s="268">
        <f>L37*$C$38</f>
        <v>90</v>
      </c>
      <c r="M38" s="268">
        <f t="shared" ref="M38:O38" si="11">M37*$C$38</f>
        <v>90</v>
      </c>
      <c r="N38" s="268">
        <f t="shared" si="11"/>
        <v>90</v>
      </c>
      <c r="O38" s="268">
        <f t="shared" si="11"/>
        <v>90</v>
      </c>
      <c r="P38" s="272">
        <f>SUM(D38:O38)</f>
        <v>360</v>
      </c>
    </row>
    <row r="39" spans="2:16" ht="15" thickBot="1">
      <c r="B39" s="194" t="s">
        <v>293</v>
      </c>
      <c r="C39" s="277">
        <v>0.33</v>
      </c>
      <c r="D39" s="278"/>
      <c r="E39" s="278"/>
      <c r="F39" s="278"/>
      <c r="G39" s="278"/>
      <c r="H39" s="278"/>
      <c r="I39" s="278"/>
      <c r="J39" s="278"/>
      <c r="K39" s="278"/>
      <c r="L39" s="278">
        <f>ROUND(L38*$C$39,0)</f>
        <v>30</v>
      </c>
      <c r="M39" s="278">
        <f t="shared" ref="M39:O39" si="12">ROUND(M38*$C$39,0)</f>
        <v>30</v>
      </c>
      <c r="N39" s="278">
        <f t="shared" si="12"/>
        <v>30</v>
      </c>
      <c r="O39" s="278">
        <f t="shared" si="12"/>
        <v>30</v>
      </c>
      <c r="P39" s="279">
        <f>SUM(D39:O39)</f>
        <v>120</v>
      </c>
    </row>
    <row r="40" spans="2:16" ht="15" thickBot="1"/>
    <row r="41" spans="2:16">
      <c r="B41" s="316">
        <v>2019</v>
      </c>
      <c r="C41" s="317"/>
      <c r="D41" s="322" t="s">
        <v>174</v>
      </c>
      <c r="E41" s="304"/>
      <c r="F41" s="304"/>
      <c r="G41" s="304" t="s">
        <v>175</v>
      </c>
      <c r="H41" s="304"/>
      <c r="I41" s="304"/>
      <c r="J41" s="304" t="s">
        <v>176</v>
      </c>
      <c r="K41" s="304"/>
      <c r="L41" s="304"/>
      <c r="M41" s="304" t="s">
        <v>177</v>
      </c>
      <c r="N41" s="304"/>
      <c r="O41" s="304"/>
      <c r="P41" s="323" t="s">
        <v>178</v>
      </c>
    </row>
    <row r="42" spans="2:16">
      <c r="B42" s="326" t="s">
        <v>291</v>
      </c>
      <c r="C42" s="327"/>
      <c r="D42" s="145" t="s">
        <v>179</v>
      </c>
      <c r="E42" s="271" t="s">
        <v>180</v>
      </c>
      <c r="F42" s="271" t="s">
        <v>181</v>
      </c>
      <c r="G42" s="271" t="s">
        <v>182</v>
      </c>
      <c r="H42" s="271" t="s">
        <v>183</v>
      </c>
      <c r="I42" s="271" t="s">
        <v>184</v>
      </c>
      <c r="J42" s="271" t="s">
        <v>185</v>
      </c>
      <c r="K42" s="271" t="s">
        <v>186</v>
      </c>
      <c r="L42" s="271" t="s">
        <v>187</v>
      </c>
      <c r="M42" s="271" t="s">
        <v>188</v>
      </c>
      <c r="N42" s="271" t="s">
        <v>189</v>
      </c>
      <c r="O42" s="271" t="s">
        <v>190</v>
      </c>
      <c r="P42" s="325"/>
    </row>
    <row r="43" spans="2:16">
      <c r="B43" s="275" t="s">
        <v>295</v>
      </c>
      <c r="C43" s="270"/>
      <c r="D43" s="268">
        <v>1.5</v>
      </c>
      <c r="E43" s="268">
        <v>2</v>
      </c>
      <c r="F43" s="268">
        <v>2</v>
      </c>
      <c r="G43" s="268">
        <v>2</v>
      </c>
      <c r="H43" s="268">
        <v>2</v>
      </c>
      <c r="I43" s="268">
        <v>2</v>
      </c>
      <c r="J43" s="268">
        <v>2</v>
      </c>
      <c r="K43" s="268">
        <v>2</v>
      </c>
      <c r="L43" s="268">
        <v>2</v>
      </c>
      <c r="M43" s="268">
        <v>2</v>
      </c>
      <c r="N43" s="268">
        <v>2</v>
      </c>
      <c r="O43" s="268">
        <v>2</v>
      </c>
      <c r="P43" s="272">
        <f>SUM(D43:O43)</f>
        <v>23.5</v>
      </c>
    </row>
    <row r="44" spans="2:16">
      <c r="B44" s="273" t="s">
        <v>296</v>
      </c>
      <c r="C44" s="274">
        <v>60</v>
      </c>
      <c r="D44" s="268">
        <f>D43*$C$44</f>
        <v>90</v>
      </c>
      <c r="E44" s="268">
        <f t="shared" ref="E44:O44" si="13">E43*$C$44</f>
        <v>120</v>
      </c>
      <c r="F44" s="268">
        <f t="shared" si="13"/>
        <v>120</v>
      </c>
      <c r="G44" s="268">
        <f t="shared" si="13"/>
        <v>120</v>
      </c>
      <c r="H44" s="268">
        <f t="shared" si="13"/>
        <v>120</v>
      </c>
      <c r="I44" s="268">
        <f t="shared" si="13"/>
        <v>120</v>
      </c>
      <c r="J44" s="268">
        <f t="shared" si="13"/>
        <v>120</v>
      </c>
      <c r="K44" s="268">
        <f t="shared" si="13"/>
        <v>120</v>
      </c>
      <c r="L44" s="268">
        <f t="shared" si="13"/>
        <v>120</v>
      </c>
      <c r="M44" s="268">
        <f t="shared" si="13"/>
        <v>120</v>
      </c>
      <c r="N44" s="268">
        <f t="shared" si="13"/>
        <v>120</v>
      </c>
      <c r="O44" s="268">
        <f t="shared" si="13"/>
        <v>120</v>
      </c>
      <c r="P44" s="272">
        <f>SUM(D44:O44)</f>
        <v>1410</v>
      </c>
    </row>
    <row r="45" spans="2:16" ht="15" thickBot="1">
      <c r="B45" s="194" t="s">
        <v>293</v>
      </c>
      <c r="C45" s="277">
        <v>0.33</v>
      </c>
      <c r="D45" s="278">
        <f>ROUND(D44*$C$45,0)</f>
        <v>30</v>
      </c>
      <c r="E45" s="278">
        <f t="shared" ref="E45:K45" si="14">ROUND(E44*$C$45,0)</f>
        <v>40</v>
      </c>
      <c r="F45" s="278">
        <f t="shared" si="14"/>
        <v>40</v>
      </c>
      <c r="G45" s="278">
        <f t="shared" si="14"/>
        <v>40</v>
      </c>
      <c r="H45" s="278">
        <f t="shared" si="14"/>
        <v>40</v>
      </c>
      <c r="I45" s="278">
        <f t="shared" si="14"/>
        <v>40</v>
      </c>
      <c r="J45" s="278">
        <f t="shared" si="14"/>
        <v>40</v>
      </c>
      <c r="K45" s="278">
        <f t="shared" si="14"/>
        <v>40</v>
      </c>
      <c r="L45" s="278">
        <f>ROUND(L44*$C$45,0)</f>
        <v>40</v>
      </c>
      <c r="M45" s="278">
        <f t="shared" ref="M45:O45" si="15">ROUND(M44*$C$45,0)</f>
        <v>40</v>
      </c>
      <c r="N45" s="278">
        <f t="shared" si="15"/>
        <v>40</v>
      </c>
      <c r="O45" s="278">
        <f t="shared" si="15"/>
        <v>40</v>
      </c>
      <c r="P45" s="279">
        <f>SUM(D45:O45)</f>
        <v>470</v>
      </c>
    </row>
    <row r="46" spans="2:16" ht="15" thickBot="1"/>
    <row r="47" spans="2:16">
      <c r="B47" s="316">
        <v>2020</v>
      </c>
      <c r="C47" s="317"/>
      <c r="D47" s="322" t="s">
        <v>174</v>
      </c>
      <c r="E47" s="304"/>
      <c r="F47" s="304"/>
      <c r="G47" s="304" t="s">
        <v>175</v>
      </c>
      <c r="H47" s="304"/>
      <c r="I47" s="304"/>
      <c r="J47" s="304" t="s">
        <v>176</v>
      </c>
      <c r="K47" s="304"/>
      <c r="L47" s="304"/>
      <c r="M47" s="304" t="s">
        <v>177</v>
      </c>
      <c r="N47" s="304"/>
      <c r="O47" s="304"/>
      <c r="P47" s="323" t="s">
        <v>178</v>
      </c>
    </row>
    <row r="48" spans="2:16">
      <c r="B48" s="326" t="s">
        <v>291</v>
      </c>
      <c r="C48" s="327"/>
      <c r="D48" s="145" t="s">
        <v>179</v>
      </c>
      <c r="E48" s="271" t="s">
        <v>180</v>
      </c>
      <c r="F48" s="271" t="s">
        <v>181</v>
      </c>
      <c r="G48" s="271" t="s">
        <v>182</v>
      </c>
      <c r="H48" s="271" t="s">
        <v>183</v>
      </c>
      <c r="I48" s="271" t="s">
        <v>184</v>
      </c>
      <c r="J48" s="271" t="s">
        <v>185</v>
      </c>
      <c r="K48" s="271" t="s">
        <v>186</v>
      </c>
      <c r="L48" s="271" t="s">
        <v>187</v>
      </c>
      <c r="M48" s="271" t="s">
        <v>188</v>
      </c>
      <c r="N48" s="271" t="s">
        <v>189</v>
      </c>
      <c r="O48" s="271" t="s">
        <v>190</v>
      </c>
      <c r="P48" s="325"/>
    </row>
    <row r="49" spans="2:16">
      <c r="B49" s="275" t="s">
        <v>295</v>
      </c>
      <c r="C49" s="270"/>
      <c r="D49" s="268">
        <v>2</v>
      </c>
      <c r="E49" s="268">
        <v>2</v>
      </c>
      <c r="F49" s="268">
        <v>2</v>
      </c>
      <c r="G49" s="268">
        <v>2</v>
      </c>
      <c r="H49" s="268">
        <v>2</v>
      </c>
      <c r="I49" s="268">
        <v>2</v>
      </c>
      <c r="J49" s="268">
        <v>2</v>
      </c>
      <c r="K49" s="268">
        <v>2</v>
      </c>
      <c r="L49" s="268">
        <v>2</v>
      </c>
      <c r="M49" s="268">
        <v>2</v>
      </c>
      <c r="N49" s="268">
        <v>2</v>
      </c>
      <c r="O49" s="268">
        <v>2</v>
      </c>
      <c r="P49" s="272">
        <f>SUM(D49:O49)</f>
        <v>24</v>
      </c>
    </row>
    <row r="50" spans="2:16">
      <c r="B50" s="273" t="s">
        <v>296</v>
      </c>
      <c r="C50" s="274">
        <v>60</v>
      </c>
      <c r="D50" s="268">
        <f>D49*$C$50</f>
        <v>120</v>
      </c>
      <c r="E50" s="268">
        <f t="shared" ref="E50:O50" si="16">E49*$C$50</f>
        <v>120</v>
      </c>
      <c r="F50" s="268">
        <f t="shared" si="16"/>
        <v>120</v>
      </c>
      <c r="G50" s="268">
        <f t="shared" si="16"/>
        <v>120</v>
      </c>
      <c r="H50" s="268">
        <f t="shared" si="16"/>
        <v>120</v>
      </c>
      <c r="I50" s="268">
        <f t="shared" si="16"/>
        <v>120</v>
      </c>
      <c r="J50" s="268">
        <f t="shared" si="16"/>
        <v>120</v>
      </c>
      <c r="K50" s="268">
        <f t="shared" si="16"/>
        <v>120</v>
      </c>
      <c r="L50" s="268">
        <f t="shared" si="16"/>
        <v>120</v>
      </c>
      <c r="M50" s="268">
        <f t="shared" si="16"/>
        <v>120</v>
      </c>
      <c r="N50" s="268">
        <f t="shared" si="16"/>
        <v>120</v>
      </c>
      <c r="O50" s="268">
        <f t="shared" si="16"/>
        <v>120</v>
      </c>
      <c r="P50" s="272">
        <f>SUM(D50:O50)</f>
        <v>1440</v>
      </c>
    </row>
    <row r="51" spans="2:16" ht="15" thickBot="1">
      <c r="B51" s="194" t="s">
        <v>293</v>
      </c>
      <c r="C51" s="277">
        <v>0.33</v>
      </c>
      <c r="D51" s="278">
        <f>ROUND(D50*$C$51,0)</f>
        <v>40</v>
      </c>
      <c r="E51" s="278">
        <f t="shared" ref="E51:O51" si="17">ROUND(E50*$C$51,0)</f>
        <v>40</v>
      </c>
      <c r="F51" s="278">
        <f t="shared" si="17"/>
        <v>40</v>
      </c>
      <c r="G51" s="278">
        <f t="shared" si="17"/>
        <v>40</v>
      </c>
      <c r="H51" s="278">
        <f t="shared" si="17"/>
        <v>40</v>
      </c>
      <c r="I51" s="278">
        <f t="shared" si="17"/>
        <v>40</v>
      </c>
      <c r="J51" s="278">
        <f t="shared" si="17"/>
        <v>40</v>
      </c>
      <c r="K51" s="278">
        <f t="shared" si="17"/>
        <v>40</v>
      </c>
      <c r="L51" s="278">
        <f t="shared" si="17"/>
        <v>40</v>
      </c>
      <c r="M51" s="278">
        <f t="shared" si="17"/>
        <v>40</v>
      </c>
      <c r="N51" s="278">
        <f t="shared" si="17"/>
        <v>40</v>
      </c>
      <c r="O51" s="278">
        <f t="shared" si="17"/>
        <v>40</v>
      </c>
      <c r="P51" s="279">
        <f>SUM(D51:O51)</f>
        <v>480</v>
      </c>
    </row>
    <row r="53" spans="2:16" ht="15" thickBot="1"/>
    <row r="54" spans="2:16" ht="15" thickBot="1">
      <c r="B54" s="267" t="s">
        <v>304</v>
      </c>
    </row>
    <row r="55" spans="2:16" ht="15" thickBot="1"/>
    <row r="56" spans="2:16">
      <c r="B56" s="316"/>
      <c r="C56" s="317"/>
      <c r="D56" s="322" t="s">
        <v>174</v>
      </c>
      <c r="E56" s="304"/>
      <c r="F56" s="304"/>
      <c r="G56" s="304" t="s">
        <v>175</v>
      </c>
      <c r="H56" s="304"/>
      <c r="I56" s="304"/>
      <c r="J56" s="304" t="s">
        <v>176</v>
      </c>
      <c r="K56" s="304"/>
      <c r="L56" s="304"/>
      <c r="M56" s="304" t="s">
        <v>177</v>
      </c>
      <c r="N56" s="304"/>
      <c r="O56" s="304"/>
      <c r="P56" s="323" t="s">
        <v>178</v>
      </c>
    </row>
    <row r="57" spans="2:16">
      <c r="B57" s="326"/>
      <c r="C57" s="327"/>
      <c r="D57" s="145" t="s">
        <v>179</v>
      </c>
      <c r="E57" s="271" t="s">
        <v>180</v>
      </c>
      <c r="F57" s="271" t="s">
        <v>181</v>
      </c>
      <c r="G57" s="271" t="s">
        <v>182</v>
      </c>
      <c r="H57" s="271" t="s">
        <v>183</v>
      </c>
      <c r="I57" s="271" t="s">
        <v>184</v>
      </c>
      <c r="J57" s="271" t="s">
        <v>185</v>
      </c>
      <c r="K57" s="271" t="s">
        <v>186</v>
      </c>
      <c r="L57" s="271" t="s">
        <v>187</v>
      </c>
      <c r="M57" s="271" t="s">
        <v>188</v>
      </c>
      <c r="N57" s="271" t="s">
        <v>189</v>
      </c>
      <c r="O57" s="271" t="s">
        <v>190</v>
      </c>
      <c r="P57" s="325"/>
    </row>
    <row r="58" spans="2:16">
      <c r="B58" s="280">
        <v>2018</v>
      </c>
      <c r="C58" s="270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>
        <f>N12+SUM(L39:N39)</f>
        <v>92</v>
      </c>
      <c r="O58" s="268">
        <f>O12</f>
        <v>62.5</v>
      </c>
      <c r="P58" s="272">
        <f>SUM(D58:O58)</f>
        <v>154.5</v>
      </c>
    </row>
    <row r="59" spans="2:16">
      <c r="B59" s="281">
        <v>2019</v>
      </c>
      <c r="C59" s="274"/>
      <c r="D59" s="268">
        <f>D20+D45</f>
        <v>98.75</v>
      </c>
      <c r="E59" s="268">
        <f t="shared" ref="E59:O59" si="18">E20+E45</f>
        <v>108.75</v>
      </c>
      <c r="F59" s="268">
        <f t="shared" si="18"/>
        <v>108.75</v>
      </c>
      <c r="G59" s="268">
        <f t="shared" si="18"/>
        <v>108.75</v>
      </c>
      <c r="H59" s="268">
        <f>H20+H45</f>
        <v>108.75</v>
      </c>
      <c r="I59" s="268">
        <f t="shared" si="18"/>
        <v>108.75</v>
      </c>
      <c r="J59" s="268">
        <f t="shared" si="18"/>
        <v>108.75</v>
      </c>
      <c r="K59" s="268">
        <f t="shared" si="18"/>
        <v>108.75</v>
      </c>
      <c r="L59" s="268">
        <f t="shared" si="18"/>
        <v>177.5</v>
      </c>
      <c r="M59" s="268">
        <f t="shared" si="18"/>
        <v>177.5</v>
      </c>
      <c r="N59" s="268">
        <f t="shared" si="18"/>
        <v>177.5</v>
      </c>
      <c r="O59" s="268">
        <f t="shared" si="18"/>
        <v>177.5</v>
      </c>
      <c r="P59" s="272">
        <f>SUM(D59:O59)</f>
        <v>1570</v>
      </c>
    </row>
    <row r="60" spans="2:16" ht="15" thickBot="1">
      <c r="B60" s="282">
        <v>2020</v>
      </c>
      <c r="C60" s="277"/>
      <c r="D60" s="278">
        <f>D28+D51</f>
        <v>190</v>
      </c>
      <c r="E60" s="278">
        <f t="shared" ref="E60:O60" si="19">E28+E51</f>
        <v>190</v>
      </c>
      <c r="F60" s="278">
        <f t="shared" si="19"/>
        <v>190</v>
      </c>
      <c r="G60" s="278">
        <f t="shared" si="19"/>
        <v>190</v>
      </c>
      <c r="H60" s="278">
        <f t="shared" si="19"/>
        <v>190</v>
      </c>
      <c r="I60" s="278">
        <f t="shared" si="19"/>
        <v>190</v>
      </c>
      <c r="J60" s="278">
        <f t="shared" si="19"/>
        <v>190</v>
      </c>
      <c r="K60" s="278">
        <f t="shared" si="19"/>
        <v>190</v>
      </c>
      <c r="L60" s="278">
        <f t="shared" si="19"/>
        <v>190</v>
      </c>
      <c r="M60" s="278">
        <f t="shared" si="19"/>
        <v>190</v>
      </c>
      <c r="N60" s="278">
        <f t="shared" si="19"/>
        <v>190</v>
      </c>
      <c r="O60" s="278">
        <f t="shared" si="19"/>
        <v>190</v>
      </c>
      <c r="P60" s="279">
        <f>SUM(D60:O60)</f>
        <v>2280</v>
      </c>
    </row>
  </sheetData>
  <mergeCells count="42">
    <mergeCell ref="M47:O47"/>
    <mergeCell ref="P47:P48"/>
    <mergeCell ref="B56:C57"/>
    <mergeCell ref="D56:F56"/>
    <mergeCell ref="G56:I56"/>
    <mergeCell ref="J56:L56"/>
    <mergeCell ref="M56:O56"/>
    <mergeCell ref="P56:P57"/>
    <mergeCell ref="B47:C48"/>
    <mergeCell ref="D47:F47"/>
    <mergeCell ref="G47:I47"/>
    <mergeCell ref="J47:L47"/>
    <mergeCell ref="P41:P42"/>
    <mergeCell ref="B35:C36"/>
    <mergeCell ref="D35:F35"/>
    <mergeCell ref="G35:I35"/>
    <mergeCell ref="J35:L35"/>
    <mergeCell ref="M35:O35"/>
    <mergeCell ref="P35:P36"/>
    <mergeCell ref="B41:C42"/>
    <mergeCell ref="D41:F41"/>
    <mergeCell ref="G41:I41"/>
    <mergeCell ref="J41:L41"/>
    <mergeCell ref="M41:O41"/>
    <mergeCell ref="P22:P23"/>
    <mergeCell ref="B14:C15"/>
    <mergeCell ref="D14:F14"/>
    <mergeCell ref="G14:I14"/>
    <mergeCell ref="J14:L14"/>
    <mergeCell ref="M14:O14"/>
    <mergeCell ref="P14:P15"/>
    <mergeCell ref="B22:C23"/>
    <mergeCell ref="D22:F22"/>
    <mergeCell ref="G22:I22"/>
    <mergeCell ref="J22:L22"/>
    <mergeCell ref="M22:O22"/>
    <mergeCell ref="P6:P7"/>
    <mergeCell ref="B6:C7"/>
    <mergeCell ref="D6:F6"/>
    <mergeCell ref="G6:I6"/>
    <mergeCell ref="J6:L6"/>
    <mergeCell ref="M6:O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B1:BV254"/>
  <sheetViews>
    <sheetView showGridLines="0" topLeftCell="A12" workbookViewId="0">
      <selection activeCell="A25" sqref="A25"/>
    </sheetView>
  </sheetViews>
  <sheetFormatPr baseColWidth="10" defaultColWidth="8.83203125" defaultRowHeight="14" x14ac:dyDescent="0"/>
  <cols>
    <col min="1" max="1" width="8.83203125" style="143"/>
    <col min="2" max="2" width="9.83203125" style="143" bestFit="1" customWidth="1"/>
    <col min="3" max="3" width="12.5" style="143" customWidth="1"/>
    <col min="4" max="5" width="12.5" style="144" customWidth="1"/>
    <col min="6" max="6" width="11.1640625" style="144" customWidth="1"/>
    <col min="7" max="7" width="8.83203125" style="143"/>
    <col min="8" max="8" width="9.5" style="143" customWidth="1"/>
    <col min="9" max="16384" width="8.83203125" style="143"/>
  </cols>
  <sheetData>
    <row r="1" spans="2:74" ht="15" thickBot="1">
      <c r="D1" s="143"/>
      <c r="E1" s="143"/>
      <c r="F1" s="143"/>
    </row>
    <row r="2" spans="2:74" ht="15" thickBot="1">
      <c r="B2" s="328" t="s">
        <v>202</v>
      </c>
      <c r="C2" s="329"/>
      <c r="D2" s="329"/>
      <c r="E2" s="329"/>
      <c r="F2" s="330"/>
    </row>
    <row r="3" spans="2:74">
      <c r="D3" s="143"/>
      <c r="E3" s="143"/>
      <c r="F3" s="143"/>
    </row>
    <row r="4" spans="2:74">
      <c r="D4" s="143"/>
      <c r="E4" s="143"/>
      <c r="F4" s="143"/>
    </row>
    <row r="5" spans="2:74">
      <c r="C5" s="259" t="s">
        <v>30</v>
      </c>
      <c r="D5" s="260">
        <v>50000</v>
      </c>
      <c r="E5" s="261"/>
      <c r="F5" s="143"/>
    </row>
    <row r="6" spans="2:74">
      <c r="C6" s="259" t="s">
        <v>169</v>
      </c>
      <c r="D6" s="262">
        <v>1.8499999999999999E-2</v>
      </c>
      <c r="E6" s="261"/>
      <c r="F6" s="143"/>
    </row>
    <row r="7" spans="2:74">
      <c r="C7" s="259" t="s">
        <v>170</v>
      </c>
      <c r="D7" s="261">
        <v>3</v>
      </c>
      <c r="E7" s="261" t="s">
        <v>130</v>
      </c>
      <c r="F7" s="143"/>
    </row>
    <row r="8" spans="2:74">
      <c r="C8" s="261"/>
      <c r="D8" s="261">
        <f>+D7*12</f>
        <v>36</v>
      </c>
      <c r="E8" s="261" t="s">
        <v>171</v>
      </c>
      <c r="F8" s="143"/>
    </row>
    <row r="9" spans="2:74">
      <c r="D9" s="143"/>
      <c r="E9" s="143"/>
      <c r="F9" s="143"/>
    </row>
    <row r="10" spans="2:74">
      <c r="D10" s="259" t="s">
        <v>30</v>
      </c>
      <c r="E10" s="259" t="s">
        <v>169</v>
      </c>
      <c r="F10" s="143"/>
    </row>
    <row r="11" spans="2:74">
      <c r="C11" s="259" t="s">
        <v>82</v>
      </c>
      <c r="D11" s="260">
        <f>SUM(C15:BV15)</f>
        <v>-49999.999999999993</v>
      </c>
      <c r="E11" s="260">
        <f>SUM(C16:BV16)</f>
        <v>-4101.9985692086775</v>
      </c>
      <c r="F11" s="143"/>
    </row>
    <row r="12" spans="2:74">
      <c r="D12" s="143"/>
      <c r="E12" s="143"/>
      <c r="F12" s="143"/>
    </row>
    <row r="13" spans="2:74">
      <c r="C13" s="263">
        <v>43282</v>
      </c>
      <c r="D13" s="263">
        <v>43313</v>
      </c>
      <c r="E13" s="263">
        <v>43344</v>
      </c>
      <c r="F13" s="263">
        <v>43374</v>
      </c>
      <c r="G13" s="263">
        <v>43405</v>
      </c>
      <c r="H13" s="263">
        <v>43435</v>
      </c>
      <c r="I13" s="263">
        <v>43466</v>
      </c>
      <c r="J13" s="263">
        <v>43497</v>
      </c>
      <c r="K13" s="263">
        <v>43525</v>
      </c>
      <c r="L13" s="263">
        <v>43556</v>
      </c>
      <c r="M13" s="263">
        <v>43586</v>
      </c>
      <c r="N13" s="263">
        <v>43617</v>
      </c>
      <c r="O13" s="263">
        <v>43647</v>
      </c>
      <c r="P13" s="263">
        <v>43678</v>
      </c>
      <c r="Q13" s="263">
        <v>43709</v>
      </c>
      <c r="R13" s="263">
        <v>43739</v>
      </c>
      <c r="S13" s="263">
        <v>43770</v>
      </c>
      <c r="T13" s="263">
        <v>43800</v>
      </c>
      <c r="U13" s="263">
        <v>43831</v>
      </c>
      <c r="V13" s="263">
        <v>43862</v>
      </c>
      <c r="W13" s="263">
        <v>43891</v>
      </c>
      <c r="X13" s="263">
        <v>43922</v>
      </c>
      <c r="Y13" s="263">
        <v>43952</v>
      </c>
      <c r="Z13" s="263">
        <v>43983</v>
      </c>
      <c r="AA13" s="263">
        <v>44013</v>
      </c>
      <c r="AB13" s="263">
        <v>44044</v>
      </c>
      <c r="AC13" s="263">
        <v>44075</v>
      </c>
      <c r="AD13" s="263">
        <v>44105</v>
      </c>
      <c r="AE13" s="263">
        <v>44136</v>
      </c>
      <c r="AF13" s="263">
        <v>44166</v>
      </c>
      <c r="AG13" s="263">
        <v>44197</v>
      </c>
      <c r="AH13" s="263">
        <v>44228</v>
      </c>
      <c r="AI13" s="263">
        <v>44256</v>
      </c>
      <c r="AJ13" s="263">
        <v>44287</v>
      </c>
      <c r="AK13" s="263">
        <v>44317</v>
      </c>
      <c r="AL13" s="263">
        <v>44348</v>
      </c>
      <c r="AM13" s="263">
        <v>44378</v>
      </c>
      <c r="AN13" s="263">
        <v>44409</v>
      </c>
      <c r="AO13" s="263">
        <v>44440</v>
      </c>
      <c r="AP13" s="263">
        <v>44470</v>
      </c>
      <c r="AQ13" s="263">
        <v>44501</v>
      </c>
      <c r="AR13" s="263">
        <v>44531</v>
      </c>
      <c r="AS13" s="263">
        <v>44562</v>
      </c>
      <c r="AT13" s="263">
        <v>44593</v>
      </c>
      <c r="AU13" s="263">
        <v>44621</v>
      </c>
      <c r="AV13" s="263">
        <v>44652</v>
      </c>
      <c r="AW13" s="263">
        <v>44682</v>
      </c>
      <c r="AX13" s="263">
        <v>44713</v>
      </c>
      <c r="AY13" s="263">
        <v>44743</v>
      </c>
      <c r="AZ13" s="263">
        <v>44774</v>
      </c>
      <c r="BA13" s="263">
        <v>44805</v>
      </c>
      <c r="BB13" s="263">
        <v>44835</v>
      </c>
      <c r="BC13" s="263">
        <v>44866</v>
      </c>
      <c r="BD13" s="263">
        <v>44896</v>
      </c>
      <c r="BE13" s="263">
        <v>44927</v>
      </c>
      <c r="BF13" s="263">
        <v>44958</v>
      </c>
      <c r="BG13" s="263">
        <v>44986</v>
      </c>
      <c r="BH13" s="263">
        <v>45017</v>
      </c>
      <c r="BI13" s="263">
        <v>45047</v>
      </c>
      <c r="BJ13" s="263">
        <v>45078</v>
      </c>
      <c r="BK13" s="263">
        <v>45108</v>
      </c>
      <c r="BL13" s="263">
        <v>45139</v>
      </c>
      <c r="BM13" s="263">
        <v>45170</v>
      </c>
      <c r="BN13" s="263">
        <v>45200</v>
      </c>
      <c r="BO13" s="263">
        <v>45231</v>
      </c>
      <c r="BP13" s="263">
        <v>45261</v>
      </c>
      <c r="BQ13" s="263">
        <v>45292</v>
      </c>
      <c r="BR13" s="263">
        <v>45323</v>
      </c>
      <c r="BS13" s="263">
        <v>45352</v>
      </c>
      <c r="BT13" s="263">
        <v>45383</v>
      </c>
      <c r="BU13" s="263">
        <v>45413</v>
      </c>
      <c r="BV13" s="263">
        <v>45444</v>
      </c>
    </row>
    <row r="14" spans="2:74">
      <c r="B14" s="259" t="s">
        <v>170</v>
      </c>
      <c r="C14" s="261">
        <v>0</v>
      </c>
      <c r="D14" s="261">
        <v>1</v>
      </c>
      <c r="E14" s="261">
        <v>1</v>
      </c>
      <c r="F14" s="261">
        <v>1</v>
      </c>
      <c r="G14" s="261">
        <v>1</v>
      </c>
      <c r="H14" s="261">
        <v>1</v>
      </c>
      <c r="I14" s="261">
        <v>1</v>
      </c>
      <c r="J14" s="261">
        <v>1</v>
      </c>
      <c r="K14" s="261">
        <v>1</v>
      </c>
      <c r="L14" s="261">
        <v>1</v>
      </c>
      <c r="M14" s="261">
        <v>1</v>
      </c>
      <c r="N14" s="261">
        <v>1</v>
      </c>
      <c r="O14" s="261">
        <v>1</v>
      </c>
      <c r="P14" s="261">
        <v>1</v>
      </c>
      <c r="Q14" s="261">
        <v>1</v>
      </c>
      <c r="R14" s="261">
        <v>1</v>
      </c>
      <c r="S14" s="261">
        <v>1</v>
      </c>
      <c r="T14" s="261">
        <v>1</v>
      </c>
      <c r="U14" s="261">
        <v>1</v>
      </c>
      <c r="V14" s="261">
        <v>1</v>
      </c>
      <c r="W14" s="261">
        <v>1</v>
      </c>
      <c r="X14" s="261">
        <v>1</v>
      </c>
      <c r="Y14" s="261">
        <v>1</v>
      </c>
      <c r="Z14" s="261">
        <v>1</v>
      </c>
      <c r="AA14" s="261">
        <v>1</v>
      </c>
      <c r="AB14" s="261">
        <v>1</v>
      </c>
      <c r="AC14" s="261">
        <v>1</v>
      </c>
      <c r="AD14" s="261">
        <v>1</v>
      </c>
      <c r="AE14" s="261">
        <v>1</v>
      </c>
      <c r="AF14" s="261">
        <v>1</v>
      </c>
      <c r="AG14" s="261">
        <v>1</v>
      </c>
      <c r="AH14" s="261">
        <v>1</v>
      </c>
      <c r="AI14" s="261">
        <v>1</v>
      </c>
      <c r="AJ14" s="261">
        <v>1</v>
      </c>
      <c r="AK14" s="261">
        <v>1</v>
      </c>
      <c r="AL14" s="261">
        <v>1</v>
      </c>
      <c r="AM14" s="261">
        <v>1</v>
      </c>
      <c r="AN14" s="261">
        <v>2</v>
      </c>
      <c r="AO14" s="261">
        <v>3</v>
      </c>
      <c r="AP14" s="261">
        <v>4</v>
      </c>
      <c r="AQ14" s="261">
        <v>5</v>
      </c>
      <c r="AR14" s="261">
        <v>6</v>
      </c>
      <c r="AS14" s="261">
        <v>7</v>
      </c>
      <c r="AT14" s="261">
        <v>8</v>
      </c>
      <c r="AU14" s="261">
        <v>9</v>
      </c>
      <c r="AV14" s="261">
        <v>10</v>
      </c>
      <c r="AW14" s="261">
        <v>11</v>
      </c>
      <c r="AX14" s="261">
        <v>12</v>
      </c>
      <c r="AY14" s="261">
        <v>13</v>
      </c>
      <c r="AZ14" s="261">
        <v>14</v>
      </c>
      <c r="BA14" s="261">
        <v>15</v>
      </c>
      <c r="BB14" s="261">
        <v>16</v>
      </c>
      <c r="BC14" s="261">
        <v>17</v>
      </c>
      <c r="BD14" s="261">
        <v>18</v>
      </c>
      <c r="BE14" s="261">
        <v>19</v>
      </c>
      <c r="BF14" s="261">
        <v>20</v>
      </c>
      <c r="BG14" s="261">
        <v>21</v>
      </c>
      <c r="BH14" s="261">
        <v>22</v>
      </c>
      <c r="BI14" s="261">
        <v>23</v>
      </c>
      <c r="BJ14" s="261">
        <v>24</v>
      </c>
      <c r="BK14" s="261">
        <v>25</v>
      </c>
      <c r="BL14" s="261">
        <v>26</v>
      </c>
      <c r="BM14" s="261">
        <v>27</v>
      </c>
      <c r="BN14" s="261">
        <v>28</v>
      </c>
      <c r="BO14" s="261">
        <v>29</v>
      </c>
      <c r="BP14" s="261">
        <v>30</v>
      </c>
      <c r="BQ14" s="261">
        <v>31</v>
      </c>
      <c r="BR14" s="261">
        <v>32</v>
      </c>
      <c r="BS14" s="261">
        <v>33</v>
      </c>
      <c r="BT14" s="261">
        <v>34</v>
      </c>
      <c r="BU14" s="261">
        <v>35</v>
      </c>
      <c r="BV14" s="261">
        <v>36</v>
      </c>
    </row>
    <row r="15" spans="2:74">
      <c r="B15" s="259" t="s">
        <v>172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>
        <f>+CUMPRINC(POWER(1+$D$6,1/12)-1,$D$8,$D$5,AM14,AM14,0)</f>
        <v>-1352.081846609618</v>
      </c>
      <c r="AN15" s="260">
        <f t="shared" ref="AN15:BV15" si="0">+CUMPRINC(POWER(1+$D$6,1/12)-1,$D$8,$D$5,AN14,AN14,0)</f>
        <v>-1354.148837768266</v>
      </c>
      <c r="AO15" s="260">
        <f t="shared" si="0"/>
        <v>-1356.2189888335874</v>
      </c>
      <c r="AP15" s="260">
        <f t="shared" si="0"/>
        <v>-1358.2923046362801</v>
      </c>
      <c r="AQ15" s="260">
        <f t="shared" si="0"/>
        <v>-1360.3687900144271</v>
      </c>
      <c r="AR15" s="260">
        <f t="shared" si="0"/>
        <v>-1362.4484498135078</v>
      </c>
      <c r="AS15" s="260">
        <f t="shared" si="0"/>
        <v>-1364.5312888864084</v>
      </c>
      <c r="AT15" s="260">
        <f t="shared" si="0"/>
        <v>-1366.617312093435</v>
      </c>
      <c r="AU15" s="260">
        <f t="shared" si="0"/>
        <v>-1368.7065243023228</v>
      </c>
      <c r="AV15" s="260">
        <f t="shared" si="0"/>
        <v>-1370.7989303882493</v>
      </c>
      <c r="AW15" s="260">
        <f t="shared" si="0"/>
        <v>-1372.8945352338449</v>
      </c>
      <c r="AX15" s="260">
        <f t="shared" si="0"/>
        <v>-1374.9933437292036</v>
      </c>
      <c r="AY15" s="260">
        <f t="shared" si="0"/>
        <v>-1377.0953607718959</v>
      </c>
      <c r="AZ15" s="260">
        <f t="shared" si="0"/>
        <v>-1379.200591266979</v>
      </c>
      <c r="BA15" s="260">
        <f t="shared" si="0"/>
        <v>-1381.3090401270088</v>
      </c>
      <c r="BB15" s="260">
        <f t="shared" si="0"/>
        <v>-1383.4207122720513</v>
      </c>
      <c r="BC15" s="260">
        <f t="shared" si="0"/>
        <v>-1385.535612629694</v>
      </c>
      <c r="BD15" s="260">
        <f t="shared" si="0"/>
        <v>-1387.6537461350576</v>
      </c>
      <c r="BE15" s="260">
        <f t="shared" si="0"/>
        <v>-1389.7751177308071</v>
      </c>
      <c r="BF15" s="260">
        <f t="shared" si="0"/>
        <v>-1391.8997323671636</v>
      </c>
      <c r="BG15" s="260">
        <f t="shared" si="0"/>
        <v>-1394.0275950019159</v>
      </c>
      <c r="BH15" s="260">
        <f t="shared" si="0"/>
        <v>-1396.158710600432</v>
      </c>
      <c r="BI15" s="260">
        <f t="shared" si="0"/>
        <v>-1398.2930841356711</v>
      </c>
      <c r="BJ15" s="260">
        <f t="shared" si="0"/>
        <v>-1400.4307205881939</v>
      </c>
      <c r="BK15" s="260">
        <f t="shared" si="0"/>
        <v>-1402.5716249461759</v>
      </c>
      <c r="BL15" s="260">
        <f t="shared" si="0"/>
        <v>-1404.715802205418</v>
      </c>
      <c r="BM15" s="260">
        <f t="shared" si="0"/>
        <v>-1406.8632573693585</v>
      </c>
      <c r="BN15" s="260">
        <f t="shared" si="0"/>
        <v>-1409.0139954490844</v>
      </c>
      <c r="BO15" s="260">
        <f t="shared" si="0"/>
        <v>-1411.1680214633434</v>
      </c>
      <c r="BP15" s="260">
        <f t="shared" si="0"/>
        <v>-1413.3253404385559</v>
      </c>
      <c r="BQ15" s="260">
        <f t="shared" si="0"/>
        <v>-1415.4859574088268</v>
      </c>
      <c r="BR15" s="260">
        <f t="shared" si="0"/>
        <v>-1417.6498774159559</v>
      </c>
      <c r="BS15" s="260">
        <f t="shared" si="0"/>
        <v>-1419.817105509451</v>
      </c>
      <c r="BT15" s="260">
        <f t="shared" si="0"/>
        <v>-1421.9876467465401</v>
      </c>
      <c r="BU15" s="260">
        <f t="shared" si="0"/>
        <v>-1424.1615061921809</v>
      </c>
      <c r="BV15" s="260">
        <f t="shared" si="0"/>
        <v>-1426.3386889190756</v>
      </c>
    </row>
    <row r="16" spans="2:74">
      <c r="B16" s="259" t="s">
        <v>169</v>
      </c>
      <c r="C16" s="260"/>
      <c r="D16" s="260">
        <f>+CUMIPMT(POWER(1+$D$6,1/12)-1,$D$8,$D$5,D14,D14,0)</f>
        <v>-76.437353398062214</v>
      </c>
      <c r="E16" s="260">
        <f t="shared" ref="E16:BP16" si="1">+CUMIPMT(POWER(1+$D$6,1/12)-1,$D$8,$D$5,E14,E14,0)</f>
        <v>-76.437353398062214</v>
      </c>
      <c r="F16" s="260">
        <f t="shared" si="1"/>
        <v>-76.437353398062214</v>
      </c>
      <c r="G16" s="260">
        <f t="shared" si="1"/>
        <v>-76.437353398062214</v>
      </c>
      <c r="H16" s="260">
        <f t="shared" si="1"/>
        <v>-76.437353398062214</v>
      </c>
      <c r="I16" s="260">
        <f t="shared" si="1"/>
        <v>-76.437353398062214</v>
      </c>
      <c r="J16" s="260">
        <f t="shared" si="1"/>
        <v>-76.437353398062214</v>
      </c>
      <c r="K16" s="260">
        <f t="shared" si="1"/>
        <v>-76.437353398062214</v>
      </c>
      <c r="L16" s="260">
        <f t="shared" si="1"/>
        <v>-76.437353398062214</v>
      </c>
      <c r="M16" s="260">
        <f t="shared" si="1"/>
        <v>-76.437353398062214</v>
      </c>
      <c r="N16" s="260">
        <f t="shared" si="1"/>
        <v>-76.437353398062214</v>
      </c>
      <c r="O16" s="260">
        <f t="shared" si="1"/>
        <v>-76.437353398062214</v>
      </c>
      <c r="P16" s="260">
        <f t="shared" si="1"/>
        <v>-76.437353398062214</v>
      </c>
      <c r="Q16" s="260">
        <f t="shared" si="1"/>
        <v>-76.437353398062214</v>
      </c>
      <c r="R16" s="260">
        <f t="shared" si="1"/>
        <v>-76.437353398062214</v>
      </c>
      <c r="S16" s="260">
        <f t="shared" si="1"/>
        <v>-76.437353398062214</v>
      </c>
      <c r="T16" s="260">
        <f t="shared" si="1"/>
        <v>-76.437353398062214</v>
      </c>
      <c r="U16" s="260">
        <f t="shared" si="1"/>
        <v>-76.437353398062214</v>
      </c>
      <c r="V16" s="260">
        <f t="shared" si="1"/>
        <v>-76.437353398062214</v>
      </c>
      <c r="W16" s="260">
        <f t="shared" si="1"/>
        <v>-76.437353398062214</v>
      </c>
      <c r="X16" s="260">
        <f t="shared" si="1"/>
        <v>-76.437353398062214</v>
      </c>
      <c r="Y16" s="260">
        <f t="shared" si="1"/>
        <v>-76.437353398062214</v>
      </c>
      <c r="Z16" s="260">
        <f t="shared" si="1"/>
        <v>-76.437353398062214</v>
      </c>
      <c r="AA16" s="260">
        <f t="shared" si="1"/>
        <v>-76.437353398062214</v>
      </c>
      <c r="AB16" s="260">
        <f t="shared" si="1"/>
        <v>-76.437353398062214</v>
      </c>
      <c r="AC16" s="260">
        <f t="shared" si="1"/>
        <v>-76.437353398062214</v>
      </c>
      <c r="AD16" s="260">
        <f t="shared" si="1"/>
        <v>-76.437353398062214</v>
      </c>
      <c r="AE16" s="260">
        <f t="shared" si="1"/>
        <v>-76.437353398062214</v>
      </c>
      <c r="AF16" s="260">
        <f t="shared" si="1"/>
        <v>-76.437353398062214</v>
      </c>
      <c r="AG16" s="260">
        <f t="shared" si="1"/>
        <v>-76.437353398062214</v>
      </c>
      <c r="AH16" s="260">
        <f t="shared" si="1"/>
        <v>-76.437353398062214</v>
      </c>
      <c r="AI16" s="260">
        <f t="shared" si="1"/>
        <v>-76.437353398062214</v>
      </c>
      <c r="AJ16" s="260">
        <f t="shared" si="1"/>
        <v>-76.437353398062214</v>
      </c>
      <c r="AK16" s="260">
        <f t="shared" si="1"/>
        <v>-76.437353398062214</v>
      </c>
      <c r="AL16" s="260">
        <f t="shared" si="1"/>
        <v>-76.437353398062214</v>
      </c>
      <c r="AM16" s="260">
        <f t="shared" si="1"/>
        <v>-76.437353398062214</v>
      </c>
      <c r="AN16" s="260">
        <f t="shared" si="1"/>
        <v>-74.370362239414135</v>
      </c>
      <c r="AO16" s="260">
        <f t="shared" si="1"/>
        <v>-72.300211174092738</v>
      </c>
      <c r="AP16" s="260">
        <f t="shared" si="1"/>
        <v>-70.226895371400133</v>
      </c>
      <c r="AQ16" s="260">
        <f t="shared" si="1"/>
        <v>-68.150409993253106</v>
      </c>
      <c r="AR16" s="260">
        <f t="shared" si="1"/>
        <v>-66.070750194172433</v>
      </c>
      <c r="AS16" s="260">
        <f t="shared" si="1"/>
        <v>-63.987911121271736</v>
      </c>
      <c r="AT16" s="260">
        <f t="shared" si="1"/>
        <v>-61.901887914245208</v>
      </c>
      <c r="AU16" s="260">
        <f t="shared" si="1"/>
        <v>-59.812675705357378</v>
      </c>
      <c r="AV16" s="260">
        <f t="shared" si="1"/>
        <v>-57.720269619430837</v>
      </c>
      <c r="AW16" s="260">
        <f t="shared" si="1"/>
        <v>-55.62466477383532</v>
      </c>
      <c r="AX16" s="260">
        <f t="shared" si="1"/>
        <v>-53.525856278476567</v>
      </c>
      <c r="AY16" s="260">
        <f t="shared" si="1"/>
        <v>-51.423839235784271</v>
      </c>
      <c r="AZ16" s="260">
        <f t="shared" si="1"/>
        <v>-49.318608740701166</v>
      </c>
      <c r="BA16" s="260">
        <f t="shared" si="1"/>
        <v>-47.210159880671426</v>
      </c>
      <c r="BB16" s="260">
        <f t="shared" si="1"/>
        <v>-45.098487735628851</v>
      </c>
      <c r="BC16" s="260">
        <f t="shared" si="1"/>
        <v>-42.983587377986169</v>
      </c>
      <c r="BD16" s="260">
        <f t="shared" si="1"/>
        <v>-40.865453872622538</v>
      </c>
      <c r="BE16" s="260">
        <f t="shared" si="1"/>
        <v>-38.744082276873087</v>
      </c>
      <c r="BF16" s="260">
        <f t="shared" si="1"/>
        <v>-36.619467640516632</v>
      </c>
      <c r="BG16" s="260">
        <f t="shared" si="1"/>
        <v>-34.491605005764313</v>
      </c>
      <c r="BH16" s="260">
        <f t="shared" si="1"/>
        <v>-32.360489407248224</v>
      </c>
      <c r="BI16" s="260">
        <f t="shared" si="1"/>
        <v>-30.226115872009132</v>
      </c>
      <c r="BJ16" s="260">
        <f t="shared" si="1"/>
        <v>-28.088479419486248</v>
      </c>
      <c r="BK16" s="260">
        <f t="shared" si="1"/>
        <v>-25.947575061504267</v>
      </c>
      <c r="BL16" s="260">
        <f t="shared" si="1"/>
        <v>-23.803397802262225</v>
      </c>
      <c r="BM16" s="260">
        <f t="shared" si="1"/>
        <v>-21.655942638321676</v>
      </c>
      <c r="BN16" s="260">
        <f t="shared" si="1"/>
        <v>-19.505204558595779</v>
      </c>
      <c r="BO16" s="260">
        <f t="shared" si="1"/>
        <v>-17.35117854433679</v>
      </c>
      <c r="BP16" s="260">
        <f t="shared" si="1"/>
        <v>-15.193859569124243</v>
      </c>
      <c r="BQ16" s="260">
        <f t="shared" ref="BQ16:BV16" si="2">+CUMIPMT(POWER(1+$D$6,1/12)-1,$D$8,$D$5,BQ14,BQ14,0)</f>
        <v>-13.033242598853349</v>
      </c>
      <c r="BR16" s="260">
        <f t="shared" si="2"/>
        <v>-10.869322591724313</v>
      </c>
      <c r="BS16" s="260">
        <f t="shared" si="2"/>
        <v>-8.7020944982291439</v>
      </c>
      <c r="BT16" s="260">
        <f t="shared" si="2"/>
        <v>-6.5315532611400613</v>
      </c>
      <c r="BU16" s="260">
        <f t="shared" si="2"/>
        <v>-4.3576938154992604</v>
      </c>
      <c r="BV16" s="260">
        <f t="shared" si="2"/>
        <v>-2.1805110886045895</v>
      </c>
    </row>
    <row r="17" spans="2:74">
      <c r="B17" s="259" t="s">
        <v>173</v>
      </c>
      <c r="C17" s="260">
        <f>D5</f>
        <v>50000</v>
      </c>
      <c r="D17" s="260">
        <f t="shared" ref="D17:BO17" si="3">C17+D15</f>
        <v>50000</v>
      </c>
      <c r="E17" s="260">
        <f t="shared" si="3"/>
        <v>50000</v>
      </c>
      <c r="F17" s="260">
        <f t="shared" si="3"/>
        <v>50000</v>
      </c>
      <c r="G17" s="260">
        <f t="shared" si="3"/>
        <v>50000</v>
      </c>
      <c r="H17" s="260">
        <f t="shared" si="3"/>
        <v>50000</v>
      </c>
      <c r="I17" s="260">
        <f t="shared" si="3"/>
        <v>50000</v>
      </c>
      <c r="J17" s="260">
        <f t="shared" si="3"/>
        <v>50000</v>
      </c>
      <c r="K17" s="260">
        <f t="shared" si="3"/>
        <v>50000</v>
      </c>
      <c r="L17" s="260">
        <f t="shared" si="3"/>
        <v>50000</v>
      </c>
      <c r="M17" s="260">
        <f t="shared" si="3"/>
        <v>50000</v>
      </c>
      <c r="N17" s="260">
        <f t="shared" si="3"/>
        <v>50000</v>
      </c>
      <c r="O17" s="260">
        <f t="shared" si="3"/>
        <v>50000</v>
      </c>
      <c r="P17" s="260">
        <f t="shared" si="3"/>
        <v>50000</v>
      </c>
      <c r="Q17" s="260">
        <f t="shared" si="3"/>
        <v>50000</v>
      </c>
      <c r="R17" s="260">
        <f t="shared" si="3"/>
        <v>50000</v>
      </c>
      <c r="S17" s="260">
        <f t="shared" si="3"/>
        <v>50000</v>
      </c>
      <c r="T17" s="260">
        <f t="shared" si="3"/>
        <v>50000</v>
      </c>
      <c r="U17" s="260">
        <f t="shared" si="3"/>
        <v>50000</v>
      </c>
      <c r="V17" s="260">
        <f t="shared" si="3"/>
        <v>50000</v>
      </c>
      <c r="W17" s="260">
        <f t="shared" si="3"/>
        <v>50000</v>
      </c>
      <c r="X17" s="260">
        <f t="shared" si="3"/>
        <v>50000</v>
      </c>
      <c r="Y17" s="260">
        <f t="shared" si="3"/>
        <v>50000</v>
      </c>
      <c r="Z17" s="260">
        <f t="shared" si="3"/>
        <v>50000</v>
      </c>
      <c r="AA17" s="260">
        <f t="shared" si="3"/>
        <v>50000</v>
      </c>
      <c r="AB17" s="260">
        <f t="shared" si="3"/>
        <v>50000</v>
      </c>
      <c r="AC17" s="260">
        <f t="shared" si="3"/>
        <v>50000</v>
      </c>
      <c r="AD17" s="260">
        <f t="shared" si="3"/>
        <v>50000</v>
      </c>
      <c r="AE17" s="260">
        <f t="shared" si="3"/>
        <v>50000</v>
      </c>
      <c r="AF17" s="260">
        <f t="shared" si="3"/>
        <v>50000</v>
      </c>
      <c r="AG17" s="260">
        <f t="shared" si="3"/>
        <v>50000</v>
      </c>
      <c r="AH17" s="260">
        <f t="shared" si="3"/>
        <v>50000</v>
      </c>
      <c r="AI17" s="260">
        <f t="shared" si="3"/>
        <v>50000</v>
      </c>
      <c r="AJ17" s="260">
        <f t="shared" si="3"/>
        <v>50000</v>
      </c>
      <c r="AK17" s="260">
        <f t="shared" si="3"/>
        <v>50000</v>
      </c>
      <c r="AL17" s="260">
        <f t="shared" si="3"/>
        <v>50000</v>
      </c>
      <c r="AM17" s="260">
        <f t="shared" si="3"/>
        <v>48647.918153390383</v>
      </c>
      <c r="AN17" s="260">
        <f t="shared" si="3"/>
        <v>47293.769315622114</v>
      </c>
      <c r="AO17" s="260">
        <f t="shared" si="3"/>
        <v>45937.550326788529</v>
      </c>
      <c r="AP17" s="260">
        <f t="shared" si="3"/>
        <v>44579.258022152251</v>
      </c>
      <c r="AQ17" s="260">
        <f t="shared" si="3"/>
        <v>43218.889232137823</v>
      </c>
      <c r="AR17" s="260">
        <f t="shared" si="3"/>
        <v>41856.440782324316</v>
      </c>
      <c r="AS17" s="260">
        <f t="shared" si="3"/>
        <v>40491.90949343791</v>
      </c>
      <c r="AT17" s="260">
        <f t="shared" si="3"/>
        <v>39125.292181344477</v>
      </c>
      <c r="AU17" s="260">
        <f t="shared" si="3"/>
        <v>37756.585657042153</v>
      </c>
      <c r="AV17" s="260">
        <f t="shared" si="3"/>
        <v>36385.786726653903</v>
      </c>
      <c r="AW17" s="260">
        <f t="shared" si="3"/>
        <v>35012.892191420062</v>
      </c>
      <c r="AX17" s="260">
        <f t="shared" si="3"/>
        <v>33637.898847690856</v>
      </c>
      <c r="AY17" s="260">
        <f t="shared" si="3"/>
        <v>32260.803486918961</v>
      </c>
      <c r="AZ17" s="260">
        <f t="shared" si="3"/>
        <v>30881.602895651984</v>
      </c>
      <c r="BA17" s="260">
        <f t="shared" si="3"/>
        <v>29500.293855524975</v>
      </c>
      <c r="BB17" s="260">
        <f t="shared" si="3"/>
        <v>28116.873143252924</v>
      </c>
      <c r="BC17" s="260">
        <f t="shared" si="3"/>
        <v>26731.33753062323</v>
      </c>
      <c r="BD17" s="260">
        <f t="shared" si="3"/>
        <v>25343.683784488174</v>
      </c>
      <c r="BE17" s="260">
        <f t="shared" si="3"/>
        <v>23953.908666757368</v>
      </c>
      <c r="BF17" s="260">
        <f t="shared" si="3"/>
        <v>22562.008934390204</v>
      </c>
      <c r="BG17" s="260">
        <f t="shared" si="3"/>
        <v>21167.981339388287</v>
      </c>
      <c r="BH17" s="260">
        <f t="shared" si="3"/>
        <v>19771.822628787853</v>
      </c>
      <c r="BI17" s="260">
        <f t="shared" si="3"/>
        <v>18373.529544652181</v>
      </c>
      <c r="BJ17" s="260">
        <f t="shared" si="3"/>
        <v>16973.098824063989</v>
      </c>
      <c r="BK17" s="260">
        <f t="shared" si="3"/>
        <v>15570.527199117812</v>
      </c>
      <c r="BL17" s="260">
        <f t="shared" si="3"/>
        <v>14165.811396912395</v>
      </c>
      <c r="BM17" s="260">
        <f t="shared" si="3"/>
        <v>12758.948139543038</v>
      </c>
      <c r="BN17" s="260">
        <f t="shared" si="3"/>
        <v>11349.934144093953</v>
      </c>
      <c r="BO17" s="260">
        <f t="shared" si="3"/>
        <v>9938.76612263061</v>
      </c>
      <c r="BP17" s="260">
        <f t="shared" ref="BP17:BV17" si="4">BO17+BP15</f>
        <v>8525.440782192054</v>
      </c>
      <c r="BQ17" s="260">
        <f t="shared" si="4"/>
        <v>7109.9548247832272</v>
      </c>
      <c r="BR17" s="260">
        <f t="shared" si="4"/>
        <v>5692.3049473672709</v>
      </c>
      <c r="BS17" s="260">
        <f t="shared" si="4"/>
        <v>4272.4878418578201</v>
      </c>
      <c r="BT17" s="260">
        <f t="shared" si="4"/>
        <v>2850.5001951112799</v>
      </c>
      <c r="BU17" s="260">
        <f t="shared" si="4"/>
        <v>1426.338688919099</v>
      </c>
      <c r="BV17" s="260">
        <f t="shared" si="4"/>
        <v>2.3419488570652902E-11</v>
      </c>
    </row>
    <row r="18" spans="2:74">
      <c r="D18" s="143"/>
      <c r="E18" s="143"/>
      <c r="F18" s="143"/>
    </row>
    <row r="19" spans="2:74" ht="15" thickBot="1">
      <c r="D19" s="143"/>
      <c r="E19" s="143"/>
      <c r="F19" s="143"/>
    </row>
    <row r="20" spans="2:74" ht="15" thickBot="1">
      <c r="B20" s="328" t="s">
        <v>283</v>
      </c>
      <c r="C20" s="329"/>
      <c r="D20" s="329"/>
      <c r="E20" s="329"/>
      <c r="F20" s="330"/>
    </row>
    <row r="21" spans="2:74">
      <c r="D21" s="143"/>
      <c r="E21" s="143"/>
      <c r="F21" s="143"/>
    </row>
    <row r="22" spans="2:74">
      <c r="D22" s="143"/>
      <c r="E22" s="143"/>
      <c r="F22" s="143"/>
    </row>
    <row r="23" spans="2:74">
      <c r="C23" s="259" t="s">
        <v>30</v>
      </c>
      <c r="D23" s="260">
        <v>100000</v>
      </c>
      <c r="E23" s="261"/>
      <c r="F23" s="143"/>
    </row>
    <row r="24" spans="2:74">
      <c r="C24" s="259" t="s">
        <v>169</v>
      </c>
      <c r="D24" s="262">
        <v>0.03</v>
      </c>
      <c r="E24" s="261"/>
      <c r="F24" s="143"/>
    </row>
    <row r="25" spans="2:74">
      <c r="C25" s="259" t="s">
        <v>170</v>
      </c>
      <c r="D25" s="261">
        <v>3</v>
      </c>
      <c r="E25" s="261" t="s">
        <v>130</v>
      </c>
      <c r="F25" s="266" t="s">
        <v>288</v>
      </c>
    </row>
    <row r="26" spans="2:74">
      <c r="C26" s="261"/>
      <c r="D26" s="261">
        <f>+D25*12</f>
        <v>36</v>
      </c>
      <c r="E26" s="261" t="s">
        <v>171</v>
      </c>
      <c r="F26" s="143"/>
    </row>
    <row r="27" spans="2:74">
      <c r="D27" s="143"/>
      <c r="E27" s="143"/>
      <c r="F27" s="143"/>
    </row>
    <row r="28" spans="2:74">
      <c r="D28" s="259" t="s">
        <v>30</v>
      </c>
      <c r="E28" s="259" t="s">
        <v>169</v>
      </c>
      <c r="F28" s="143"/>
    </row>
    <row r="29" spans="2:74">
      <c r="C29" s="259" t="s">
        <v>82</v>
      </c>
      <c r="D29" s="260">
        <f>SUM(C33:AY33)</f>
        <v>-100000.00000000004</v>
      </c>
      <c r="E29" s="260">
        <f>SUM(C34:AY34)</f>
        <v>-7094.4196113797007</v>
      </c>
      <c r="F29" s="143"/>
    </row>
    <row r="30" spans="2:74">
      <c r="D30" s="143"/>
      <c r="E30" s="143"/>
      <c r="F30" s="143"/>
    </row>
    <row r="31" spans="2:74">
      <c r="C31" s="263">
        <v>43466</v>
      </c>
      <c r="D31" s="263">
        <v>43497</v>
      </c>
      <c r="E31" s="263">
        <v>43525</v>
      </c>
      <c r="F31" s="263">
        <v>43556</v>
      </c>
      <c r="G31" s="263">
        <v>43586</v>
      </c>
      <c r="H31" s="263">
        <v>43617</v>
      </c>
      <c r="I31" s="263">
        <v>43647</v>
      </c>
      <c r="J31" s="263">
        <v>43678</v>
      </c>
      <c r="K31" s="263">
        <v>43709</v>
      </c>
      <c r="L31" s="263">
        <v>43739</v>
      </c>
      <c r="M31" s="263">
        <v>43770</v>
      </c>
      <c r="N31" s="263">
        <v>43800</v>
      </c>
      <c r="O31" s="263">
        <v>43831</v>
      </c>
      <c r="P31" s="263">
        <v>43862</v>
      </c>
      <c r="Q31" s="263">
        <v>43891</v>
      </c>
      <c r="R31" s="263">
        <v>43922</v>
      </c>
      <c r="S31" s="263">
        <v>43952</v>
      </c>
      <c r="T31" s="263">
        <v>43983</v>
      </c>
      <c r="U31" s="263">
        <v>44013</v>
      </c>
      <c r="V31" s="263">
        <v>44044</v>
      </c>
      <c r="W31" s="263">
        <v>44075</v>
      </c>
      <c r="X31" s="263">
        <v>44105</v>
      </c>
      <c r="Y31" s="263">
        <v>44136</v>
      </c>
      <c r="Z31" s="263">
        <v>44166</v>
      </c>
      <c r="AA31" s="263">
        <v>44197</v>
      </c>
      <c r="AB31" s="263">
        <v>44228</v>
      </c>
      <c r="AC31" s="263">
        <v>44256</v>
      </c>
      <c r="AD31" s="263">
        <v>44287</v>
      </c>
      <c r="AE31" s="263">
        <v>44317</v>
      </c>
      <c r="AF31" s="263">
        <v>44348</v>
      </c>
      <c r="AG31" s="263">
        <v>44378</v>
      </c>
      <c r="AH31" s="263">
        <v>44409</v>
      </c>
      <c r="AI31" s="263">
        <v>44440</v>
      </c>
      <c r="AJ31" s="263">
        <v>44470</v>
      </c>
      <c r="AK31" s="263">
        <v>44501</v>
      </c>
      <c r="AL31" s="263">
        <v>44531</v>
      </c>
      <c r="AM31" s="263">
        <v>44562</v>
      </c>
      <c r="AN31" s="263">
        <v>44593</v>
      </c>
      <c r="AO31" s="263">
        <v>44621</v>
      </c>
      <c r="AP31" s="263">
        <v>44652</v>
      </c>
      <c r="AQ31" s="263">
        <v>44682</v>
      </c>
      <c r="AR31" s="263">
        <v>44713</v>
      </c>
      <c r="AS31" s="263">
        <v>44743</v>
      </c>
      <c r="AT31" s="263">
        <v>44774</v>
      </c>
      <c r="AU31" s="263">
        <v>44805</v>
      </c>
      <c r="AV31" s="263">
        <v>44835</v>
      </c>
      <c r="AW31" s="263">
        <v>44866</v>
      </c>
    </row>
    <row r="32" spans="2:74">
      <c r="B32" s="259" t="s">
        <v>170</v>
      </c>
      <c r="C32" s="261">
        <v>0</v>
      </c>
      <c r="D32" s="261">
        <v>1</v>
      </c>
      <c r="E32" s="261">
        <v>1</v>
      </c>
      <c r="F32" s="261">
        <v>1</v>
      </c>
      <c r="G32" s="261">
        <v>1</v>
      </c>
      <c r="H32" s="261">
        <v>1</v>
      </c>
      <c r="I32" s="261">
        <v>1</v>
      </c>
      <c r="J32" s="261">
        <v>1</v>
      </c>
      <c r="K32" s="261">
        <v>1</v>
      </c>
      <c r="L32" s="261">
        <v>1</v>
      </c>
      <c r="M32" s="261">
        <v>1</v>
      </c>
      <c r="N32" s="261">
        <v>1</v>
      </c>
      <c r="O32" s="261">
        <v>2</v>
      </c>
      <c r="P32" s="261">
        <v>3</v>
      </c>
      <c r="Q32" s="261">
        <v>4</v>
      </c>
      <c r="R32" s="261">
        <v>5</v>
      </c>
      <c r="S32" s="261">
        <v>6</v>
      </c>
      <c r="T32" s="261">
        <v>7</v>
      </c>
      <c r="U32" s="261">
        <v>8</v>
      </c>
      <c r="V32" s="261">
        <v>9</v>
      </c>
      <c r="W32" s="261">
        <v>10</v>
      </c>
      <c r="X32" s="261">
        <v>11</v>
      </c>
      <c r="Y32" s="261">
        <v>12</v>
      </c>
      <c r="Z32" s="261">
        <v>13</v>
      </c>
      <c r="AA32" s="261">
        <v>14</v>
      </c>
      <c r="AB32" s="261">
        <v>15</v>
      </c>
      <c r="AC32" s="261">
        <v>16</v>
      </c>
      <c r="AD32" s="261">
        <v>17</v>
      </c>
      <c r="AE32" s="261">
        <v>18</v>
      </c>
      <c r="AF32" s="261">
        <v>19</v>
      </c>
      <c r="AG32" s="261">
        <v>20</v>
      </c>
      <c r="AH32" s="261">
        <v>21</v>
      </c>
      <c r="AI32" s="261">
        <v>22</v>
      </c>
      <c r="AJ32" s="261">
        <v>23</v>
      </c>
      <c r="AK32" s="261">
        <v>24</v>
      </c>
      <c r="AL32" s="261">
        <v>25</v>
      </c>
      <c r="AM32" s="261">
        <v>26</v>
      </c>
      <c r="AN32" s="261">
        <v>27</v>
      </c>
      <c r="AO32" s="261">
        <v>28</v>
      </c>
      <c r="AP32" s="261">
        <v>29</v>
      </c>
      <c r="AQ32" s="261">
        <v>30</v>
      </c>
      <c r="AR32" s="261">
        <v>31</v>
      </c>
      <c r="AS32" s="261">
        <v>32</v>
      </c>
      <c r="AT32" s="261">
        <v>33</v>
      </c>
      <c r="AU32" s="261">
        <v>34</v>
      </c>
      <c r="AV32" s="261">
        <v>35</v>
      </c>
      <c r="AW32" s="261">
        <v>36</v>
      </c>
    </row>
    <row r="33" spans="2:49">
      <c r="B33" s="259" t="s">
        <v>172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>
        <f t="shared" ref="N33:AW33" si="5">+CUMPRINC(POWER(1+$D$24,1/12)-1,$D$26,$D$23,N32,N32,0)</f>
        <v>-2659.7105182995206</v>
      </c>
      <c r="O33" s="260">
        <f t="shared" si="5"/>
        <v>-2666.2700819538809</v>
      </c>
      <c r="P33" s="260">
        <f t="shared" si="5"/>
        <v>-2672.8458232618013</v>
      </c>
      <c r="Q33" s="260">
        <f t="shared" si="5"/>
        <v>-2679.4377821217399</v>
      </c>
      <c r="R33" s="260">
        <f t="shared" si="5"/>
        <v>-2686.0459985305556</v>
      </c>
      <c r="S33" s="260">
        <f t="shared" si="5"/>
        <v>-2692.6705125837489</v>
      </c>
      <c r="T33" s="260">
        <f t="shared" si="5"/>
        <v>-2699.3113644757073</v>
      </c>
      <c r="U33" s="260">
        <f t="shared" si="5"/>
        <v>-2705.9685944999501</v>
      </c>
      <c r="V33" s="260">
        <f t="shared" si="5"/>
        <v>-2712.6422430493681</v>
      </c>
      <c r="W33" s="260">
        <f t="shared" si="5"/>
        <v>-2719.3323506164747</v>
      </c>
      <c r="X33" s="260">
        <f t="shared" si="5"/>
        <v>-2726.0389577936476</v>
      </c>
      <c r="Y33" s="260">
        <f t="shared" si="5"/>
        <v>-2732.7621052733762</v>
      </c>
      <c r="Z33" s="260">
        <f t="shared" si="5"/>
        <v>-2739.5018338485088</v>
      </c>
      <c r="AA33" s="260">
        <f t="shared" si="5"/>
        <v>-2746.2581844125002</v>
      </c>
      <c r="AB33" s="260">
        <f t="shared" si="5"/>
        <v>-2753.0311979596581</v>
      </c>
      <c r="AC33" s="260">
        <f t="shared" si="5"/>
        <v>-2759.8209155853956</v>
      </c>
      <c r="AD33" s="260">
        <f t="shared" si="5"/>
        <v>-2766.6273784864748</v>
      </c>
      <c r="AE33" s="260">
        <f t="shared" si="5"/>
        <v>-2773.4506279612638</v>
      </c>
      <c r="AF33" s="260">
        <f t="shared" si="5"/>
        <v>-2780.2907054099815</v>
      </c>
      <c r="AG33" s="260">
        <f t="shared" si="5"/>
        <v>-2787.1476523349511</v>
      </c>
      <c r="AH33" s="260">
        <f t="shared" si="5"/>
        <v>-2794.0215103408523</v>
      </c>
      <c r="AI33" s="260">
        <f t="shared" si="5"/>
        <v>-2800.9123211349715</v>
      </c>
      <c r="AJ33" s="260">
        <f t="shared" si="5"/>
        <v>-2807.8201265274602</v>
      </c>
      <c r="AK33" s="260">
        <f t="shared" si="5"/>
        <v>-2814.7449684315807</v>
      </c>
      <c r="AL33" s="260">
        <f t="shared" si="5"/>
        <v>-2821.6868888639674</v>
      </c>
      <c r="AM33" s="260">
        <f t="shared" si="5"/>
        <v>-2828.6459299448784</v>
      </c>
      <c r="AN33" s="260">
        <f t="shared" si="5"/>
        <v>-2835.6221338984515</v>
      </c>
      <c r="AO33" s="260">
        <f t="shared" si="5"/>
        <v>-2842.6155430529602</v>
      </c>
      <c r="AP33" s="260">
        <f t="shared" si="5"/>
        <v>-2849.6261998410723</v>
      </c>
      <c r="AQ33" s="260">
        <f t="shared" si="5"/>
        <v>-2856.6541468001051</v>
      </c>
      <c r="AR33" s="260">
        <f t="shared" si="5"/>
        <v>-2863.6994265722842</v>
      </c>
      <c r="AS33" s="260">
        <f t="shared" si="5"/>
        <v>-2870.7620819050026</v>
      </c>
      <c r="AT33" s="260">
        <f t="shared" si="5"/>
        <v>-2877.8421556510807</v>
      </c>
      <c r="AU33" s="260">
        <f t="shared" si="5"/>
        <v>-2884.9396907690243</v>
      </c>
      <c r="AV33" s="260">
        <f t="shared" si="5"/>
        <v>-2892.0547303232865</v>
      </c>
      <c r="AW33" s="260">
        <f t="shared" si="5"/>
        <v>-2899.1873174845309</v>
      </c>
    </row>
    <row r="34" spans="2:49">
      <c r="B34" s="259" t="s">
        <v>169</v>
      </c>
      <c r="C34" s="260"/>
      <c r="D34" s="260">
        <f>+CUMIPMT(POWER(1+$D$24,1/12)-1,$D$26,$D$23,D32,D32,0)</f>
        <v>-246.62697723036899</v>
      </c>
      <c r="E34" s="260">
        <f t="shared" ref="E34:AW34" si="6">+CUMIPMT(POWER(1+$D$24,1/12)-1,$D$26,$D$23,E32,E32,0)</f>
        <v>-246.62697723036899</v>
      </c>
      <c r="F34" s="260">
        <f t="shared" si="6"/>
        <v>-246.62697723036899</v>
      </c>
      <c r="G34" s="260">
        <f t="shared" si="6"/>
        <v>-246.62697723036899</v>
      </c>
      <c r="H34" s="260">
        <f t="shared" si="6"/>
        <v>-246.62697723036899</v>
      </c>
      <c r="I34" s="260">
        <f t="shared" si="6"/>
        <v>-246.62697723036899</v>
      </c>
      <c r="J34" s="260">
        <f t="shared" si="6"/>
        <v>-246.62697723036899</v>
      </c>
      <c r="K34" s="260">
        <f t="shared" si="6"/>
        <v>-246.62697723036899</v>
      </c>
      <c r="L34" s="260">
        <f t="shared" si="6"/>
        <v>-246.62697723036899</v>
      </c>
      <c r="M34" s="260">
        <f t="shared" si="6"/>
        <v>-246.62697723036899</v>
      </c>
      <c r="N34" s="260">
        <f t="shared" si="6"/>
        <v>-246.62697723036899</v>
      </c>
      <c r="O34" s="260">
        <f t="shared" si="6"/>
        <v>-240.06741357600868</v>
      </c>
      <c r="P34" s="260">
        <f t="shared" si="6"/>
        <v>-233.49167226808822</v>
      </c>
      <c r="Q34" s="260">
        <f t="shared" si="6"/>
        <v>-226.89971340814964</v>
      </c>
      <c r="R34" s="260">
        <f t="shared" si="6"/>
        <v>-220.29149699933396</v>
      </c>
      <c r="S34" s="260">
        <f t="shared" si="6"/>
        <v>-213.66698294614071</v>
      </c>
      <c r="T34" s="260">
        <f t="shared" si="6"/>
        <v>-207.02613105418231</v>
      </c>
      <c r="U34" s="260">
        <f t="shared" si="6"/>
        <v>-200.36890102993948</v>
      </c>
      <c r="V34" s="260">
        <f t="shared" si="6"/>
        <v>-193.6952524805215</v>
      </c>
      <c r="W34" s="260">
        <f t="shared" si="6"/>
        <v>-187.00514491341482</v>
      </c>
      <c r="X34" s="260">
        <f t="shared" si="6"/>
        <v>-180.298537736242</v>
      </c>
      <c r="Y34" s="260">
        <f t="shared" si="6"/>
        <v>-173.5753902565134</v>
      </c>
      <c r="Z34" s="260">
        <f t="shared" si="6"/>
        <v>-166.83566168138077</v>
      </c>
      <c r="AA34" s="260">
        <f t="shared" si="6"/>
        <v>-160.07931111738935</v>
      </c>
      <c r="AB34" s="260">
        <f t="shared" si="6"/>
        <v>-153.30629757023144</v>
      </c>
      <c r="AC34" s="260">
        <f t="shared" si="6"/>
        <v>-146.51657994449397</v>
      </c>
      <c r="AD34" s="260">
        <f t="shared" si="6"/>
        <v>-139.71011704341481</v>
      </c>
      <c r="AE34" s="260">
        <f t="shared" si="6"/>
        <v>-132.8868675686258</v>
      </c>
      <c r="AF34" s="260">
        <f t="shared" si="6"/>
        <v>-126.04679011990811</v>
      </c>
      <c r="AG34" s="260">
        <f t="shared" si="6"/>
        <v>-119.18984319493848</v>
      </c>
      <c r="AH34" s="260">
        <f t="shared" si="6"/>
        <v>-112.31598518903729</v>
      </c>
      <c r="AI34" s="260">
        <f t="shared" si="6"/>
        <v>-105.42517439491803</v>
      </c>
      <c r="AJ34" s="260">
        <f t="shared" si="6"/>
        <v>-98.517369002429405</v>
      </c>
      <c r="AK34" s="260">
        <f t="shared" si="6"/>
        <v>-91.592527098308892</v>
      </c>
      <c r="AL34" s="260">
        <f t="shared" si="6"/>
        <v>-84.650606665922169</v>
      </c>
      <c r="AM34" s="260">
        <f t="shared" si="6"/>
        <v>-77.691565585011176</v>
      </c>
      <c r="AN34" s="260">
        <f t="shared" si="6"/>
        <v>-70.7153616314381</v>
      </c>
      <c r="AO34" s="260">
        <f t="shared" si="6"/>
        <v>-63.721952476929346</v>
      </c>
      <c r="AP34" s="260">
        <f t="shared" si="6"/>
        <v>-56.711295688817245</v>
      </c>
      <c r="AQ34" s="260">
        <f t="shared" si="6"/>
        <v>-49.683348729784484</v>
      </c>
      <c r="AR34" s="260">
        <f t="shared" si="6"/>
        <v>-42.638068957605356</v>
      </c>
      <c r="AS34" s="260">
        <f t="shared" si="6"/>
        <v>-35.575413624887005</v>
      </c>
      <c r="AT34" s="260">
        <f t="shared" si="6"/>
        <v>-28.495339878808863</v>
      </c>
      <c r="AU34" s="260">
        <f t="shared" si="6"/>
        <v>-21.397804760865256</v>
      </c>
      <c r="AV34" s="260">
        <f t="shared" si="6"/>
        <v>-14.282765206603017</v>
      </c>
      <c r="AW34" s="260">
        <f t="shared" si="6"/>
        <v>-7.1501780453586434</v>
      </c>
    </row>
    <row r="35" spans="2:49">
      <c r="B35" s="259" t="s">
        <v>173</v>
      </c>
      <c r="C35" s="260">
        <f>D23</f>
        <v>100000</v>
      </c>
      <c r="D35" s="260">
        <f t="shared" ref="D35" si="7">C35+D33</f>
        <v>100000</v>
      </c>
      <c r="E35" s="260">
        <f t="shared" ref="E35" si="8">D35+E33</f>
        <v>100000</v>
      </c>
      <c r="F35" s="260">
        <f t="shared" ref="F35" si="9">E35+F33</f>
        <v>100000</v>
      </c>
      <c r="G35" s="260">
        <f t="shared" ref="G35" si="10">F35+G33</f>
        <v>100000</v>
      </c>
      <c r="H35" s="260">
        <f t="shared" ref="H35" si="11">G35+H33</f>
        <v>100000</v>
      </c>
      <c r="I35" s="260">
        <f t="shared" ref="I35" si="12">H35+I33</f>
        <v>100000</v>
      </c>
      <c r="J35" s="260">
        <f t="shared" ref="J35" si="13">I35+J33</f>
        <v>100000</v>
      </c>
      <c r="K35" s="260">
        <f t="shared" ref="K35" si="14">J35+K33</f>
        <v>100000</v>
      </c>
      <c r="L35" s="260">
        <f t="shared" ref="L35" si="15">K35+L33</f>
        <v>100000</v>
      </c>
      <c r="M35" s="260">
        <f t="shared" ref="M35" si="16">L35+M33</f>
        <v>100000</v>
      </c>
      <c r="N35" s="260">
        <f t="shared" ref="N35" si="17">M35+N33</f>
        <v>97340.289481700485</v>
      </c>
      <c r="O35" s="260">
        <f t="shared" ref="O35" si="18">N35+O33</f>
        <v>94674.019399746598</v>
      </c>
      <c r="P35" s="260">
        <f t="shared" ref="P35" si="19">O35+P33</f>
        <v>92001.173576484798</v>
      </c>
      <c r="Q35" s="260">
        <f t="shared" ref="Q35" si="20">P35+Q33</f>
        <v>89321.735794363063</v>
      </c>
      <c r="R35" s="260">
        <f t="shared" ref="R35" si="21">Q35+R33</f>
        <v>86635.689795832513</v>
      </c>
      <c r="S35" s="260">
        <f t="shared" ref="S35" si="22">R35+S33</f>
        <v>83943.019283248766</v>
      </c>
      <c r="T35" s="260">
        <f t="shared" ref="T35" si="23">S35+T33</f>
        <v>81243.707918773056</v>
      </c>
      <c r="U35" s="260">
        <f t="shared" ref="U35" si="24">T35+U33</f>
        <v>78537.739324273105</v>
      </c>
      <c r="V35" s="260">
        <f t="shared" ref="V35" si="25">U35+V33</f>
        <v>75825.097081223736</v>
      </c>
      <c r="W35" s="260">
        <f t="shared" ref="W35" si="26">V35+W33</f>
        <v>73105.764730607261</v>
      </c>
      <c r="X35" s="260">
        <f t="shared" ref="X35" si="27">W35+X33</f>
        <v>70379.725772813617</v>
      </c>
      <c r="Y35" s="260">
        <f t="shared" ref="Y35" si="28">X35+Y33</f>
        <v>67646.963667540243</v>
      </c>
      <c r="Z35" s="260">
        <f t="shared" ref="Z35" si="29">Y35+Z33</f>
        <v>64907.461833691734</v>
      </c>
      <c r="AA35" s="260">
        <f t="shared" ref="AA35" si="30">Z35+AA33</f>
        <v>62161.203649279232</v>
      </c>
      <c r="AB35" s="260">
        <f t="shared" ref="AB35" si="31">AA35+AB33</f>
        <v>59408.172451319573</v>
      </c>
      <c r="AC35" s="260">
        <f t="shared" ref="AC35" si="32">AB35+AC33</f>
        <v>56648.351535734175</v>
      </c>
      <c r="AD35" s="260">
        <f t="shared" ref="AD35" si="33">AC35+AD33</f>
        <v>53881.7241572477</v>
      </c>
      <c r="AE35" s="260">
        <f t="shared" ref="AE35" si="34">AD35+AE33</f>
        <v>51108.273529286438</v>
      </c>
      <c r="AF35" s="260">
        <f t="shared" ref="AF35" si="35">AE35+AF33</f>
        <v>48327.98282387646</v>
      </c>
      <c r="AG35" s="260">
        <f t="shared" ref="AG35" si="36">AF35+AG33</f>
        <v>45540.835171541512</v>
      </c>
      <c r="AH35" s="260">
        <f t="shared" ref="AH35" si="37">AG35+AH33</f>
        <v>42746.813661200656</v>
      </c>
      <c r="AI35" s="260">
        <f t="shared" ref="AI35" si="38">AH35+AI33</f>
        <v>39945.901340065684</v>
      </c>
      <c r="AJ35" s="260">
        <f t="shared" ref="AJ35" si="39">AI35+AJ33</f>
        <v>37138.081213538222</v>
      </c>
      <c r="AK35" s="260">
        <f t="shared" ref="AK35" si="40">AJ35+AK33</f>
        <v>34323.336245106642</v>
      </c>
      <c r="AL35" s="260">
        <f t="shared" ref="AL35" si="41">AK35+AL33</f>
        <v>31501.649356242677</v>
      </c>
      <c r="AM35" s="260">
        <f t="shared" ref="AM35" si="42">AL35+AM33</f>
        <v>28673.003426297797</v>
      </c>
      <c r="AN35" s="260">
        <f t="shared" ref="AN35" si="43">AM35+AN33</f>
        <v>25837.381292399346</v>
      </c>
      <c r="AO35" s="260">
        <f t="shared" ref="AO35" si="44">AN35+AO33</f>
        <v>22994.765749346385</v>
      </c>
      <c r="AP35" s="260">
        <f t="shared" ref="AP35" si="45">AO35+AP33</f>
        <v>20145.139549505311</v>
      </c>
      <c r="AQ35" s="260">
        <f t="shared" ref="AQ35" si="46">AP35+AQ33</f>
        <v>17288.485402705206</v>
      </c>
      <c r="AR35" s="260">
        <f t="shared" ref="AR35" si="47">AQ35+AR33</f>
        <v>14424.785976132922</v>
      </c>
      <c r="AS35" s="260">
        <f t="shared" ref="AS35" si="48">AR35+AS33</f>
        <v>11554.023894227919</v>
      </c>
      <c r="AT35" s="260">
        <f t="shared" ref="AT35" si="49">AS35+AT33</f>
        <v>8676.1817385768391</v>
      </c>
      <c r="AU35" s="260">
        <f t="shared" ref="AU35" si="50">AT35+AU33</f>
        <v>5791.2420478078147</v>
      </c>
      <c r="AV35" s="260">
        <f t="shared" ref="AV35" si="51">AU35+AV33</f>
        <v>2899.1873174845282</v>
      </c>
      <c r="AW35" s="260">
        <f t="shared" ref="AW35" si="52">AV35+AW33</f>
        <v>0</v>
      </c>
    </row>
    <row r="36" spans="2:49">
      <c r="D36" s="143"/>
      <c r="E36" s="143"/>
      <c r="F36" s="143"/>
    </row>
    <row r="37" spans="2:49">
      <c r="D37" s="143"/>
      <c r="E37" s="143"/>
      <c r="F37" s="143"/>
    </row>
    <row r="38" spans="2:49">
      <c r="D38" s="143"/>
      <c r="E38" s="143"/>
      <c r="F38" s="143"/>
    </row>
    <row r="39" spans="2:49">
      <c r="D39" s="143"/>
      <c r="E39" s="143"/>
      <c r="F39" s="143"/>
    </row>
    <row r="40" spans="2:49">
      <c r="D40" s="143"/>
      <c r="E40" s="143"/>
      <c r="F40" s="143"/>
    </row>
    <row r="41" spans="2:49">
      <c r="D41" s="143"/>
      <c r="E41" s="143"/>
      <c r="F41" s="143"/>
    </row>
    <row r="42" spans="2:49">
      <c r="D42" s="143"/>
      <c r="E42" s="143"/>
      <c r="F42" s="143"/>
    </row>
    <row r="43" spans="2:49">
      <c r="D43" s="143"/>
      <c r="E43" s="143"/>
      <c r="F43" s="143"/>
    </row>
    <row r="44" spans="2:49">
      <c r="D44" s="143"/>
      <c r="E44" s="143"/>
      <c r="F44" s="143"/>
    </row>
    <row r="45" spans="2:49">
      <c r="D45" s="143"/>
      <c r="E45" s="143"/>
      <c r="F45" s="143"/>
    </row>
    <row r="46" spans="2:49">
      <c r="D46" s="143"/>
      <c r="E46" s="143"/>
      <c r="F46" s="143"/>
    </row>
    <row r="47" spans="2:49">
      <c r="D47" s="143"/>
      <c r="E47" s="143"/>
      <c r="F47" s="143"/>
    </row>
    <row r="48" spans="2:49">
      <c r="D48" s="143"/>
      <c r="E48" s="143"/>
      <c r="F48" s="143"/>
    </row>
    <row r="49" spans="4:6">
      <c r="D49" s="143"/>
      <c r="E49" s="143"/>
      <c r="F49" s="143"/>
    </row>
    <row r="50" spans="4:6">
      <c r="D50" s="143"/>
      <c r="E50" s="143"/>
      <c r="F50" s="143"/>
    </row>
    <row r="51" spans="4:6">
      <c r="D51" s="143"/>
      <c r="E51" s="143"/>
      <c r="F51" s="143"/>
    </row>
    <row r="52" spans="4:6">
      <c r="D52" s="143"/>
      <c r="E52" s="143"/>
      <c r="F52" s="143"/>
    </row>
    <row r="53" spans="4:6">
      <c r="D53" s="143"/>
      <c r="E53" s="143"/>
      <c r="F53" s="143"/>
    </row>
    <row r="54" spans="4:6">
      <c r="D54" s="143"/>
      <c r="E54" s="143"/>
      <c r="F54" s="143"/>
    </row>
    <row r="55" spans="4:6">
      <c r="D55" s="143"/>
      <c r="E55" s="143"/>
      <c r="F55" s="143"/>
    </row>
    <row r="56" spans="4:6">
      <c r="D56" s="143"/>
      <c r="E56" s="143"/>
      <c r="F56" s="143"/>
    </row>
    <row r="57" spans="4:6">
      <c r="D57" s="143"/>
      <c r="E57" s="143"/>
      <c r="F57" s="143"/>
    </row>
    <row r="58" spans="4:6">
      <c r="D58" s="143"/>
      <c r="E58" s="143"/>
      <c r="F58" s="143"/>
    </row>
    <row r="59" spans="4:6">
      <c r="D59" s="143"/>
      <c r="E59" s="143"/>
      <c r="F59" s="143"/>
    </row>
    <row r="60" spans="4:6">
      <c r="D60" s="143"/>
      <c r="E60" s="143"/>
      <c r="F60" s="143"/>
    </row>
    <row r="61" spans="4:6">
      <c r="D61" s="143"/>
      <c r="E61" s="143"/>
      <c r="F61" s="143"/>
    </row>
    <row r="62" spans="4:6">
      <c r="D62" s="143"/>
      <c r="E62" s="143"/>
      <c r="F62" s="143"/>
    </row>
    <row r="63" spans="4:6">
      <c r="D63" s="143"/>
      <c r="E63" s="143"/>
      <c r="F63" s="143"/>
    </row>
    <row r="64" spans="4:6">
      <c r="D64" s="143"/>
      <c r="E64" s="143"/>
      <c r="F64" s="143"/>
    </row>
    <row r="65" spans="4:6">
      <c r="D65" s="143"/>
      <c r="E65" s="143"/>
      <c r="F65" s="143"/>
    </row>
    <row r="66" spans="4:6">
      <c r="D66" s="143"/>
      <c r="E66" s="143"/>
      <c r="F66" s="143"/>
    </row>
    <row r="67" spans="4:6">
      <c r="D67" s="143"/>
      <c r="E67" s="143"/>
      <c r="F67" s="143"/>
    </row>
    <row r="68" spans="4:6">
      <c r="D68" s="143"/>
      <c r="E68" s="143"/>
      <c r="F68" s="143"/>
    </row>
    <row r="69" spans="4:6">
      <c r="D69" s="143"/>
      <c r="E69" s="143"/>
      <c r="F69" s="143"/>
    </row>
    <row r="70" spans="4:6">
      <c r="D70" s="143"/>
      <c r="E70" s="143"/>
      <c r="F70" s="143"/>
    </row>
    <row r="71" spans="4:6">
      <c r="D71" s="143"/>
      <c r="E71" s="143"/>
      <c r="F71" s="143"/>
    </row>
    <row r="72" spans="4:6">
      <c r="D72" s="143"/>
      <c r="E72" s="143"/>
      <c r="F72" s="143"/>
    </row>
    <row r="73" spans="4:6">
      <c r="D73" s="143"/>
      <c r="E73" s="143"/>
      <c r="F73" s="143"/>
    </row>
    <row r="74" spans="4:6">
      <c r="D74" s="143"/>
      <c r="E74" s="143"/>
      <c r="F74" s="143"/>
    </row>
    <row r="75" spans="4:6">
      <c r="D75" s="143"/>
      <c r="E75" s="143"/>
      <c r="F75" s="143"/>
    </row>
    <row r="76" spans="4:6">
      <c r="D76" s="143"/>
      <c r="E76" s="143"/>
      <c r="F76" s="143"/>
    </row>
    <row r="77" spans="4:6">
      <c r="D77" s="143"/>
      <c r="E77" s="143"/>
      <c r="F77" s="143"/>
    </row>
    <row r="78" spans="4:6">
      <c r="D78" s="143"/>
      <c r="E78" s="143"/>
      <c r="F78" s="143"/>
    </row>
    <row r="79" spans="4:6">
      <c r="D79" s="143"/>
      <c r="E79" s="143"/>
      <c r="F79" s="143"/>
    </row>
    <row r="80" spans="4:6">
      <c r="D80" s="143"/>
      <c r="E80" s="143"/>
      <c r="F80" s="143"/>
    </row>
    <row r="81" spans="4:6">
      <c r="D81" s="143"/>
      <c r="E81" s="143"/>
      <c r="F81" s="143"/>
    </row>
    <row r="82" spans="4:6">
      <c r="D82" s="143"/>
      <c r="E82" s="143"/>
      <c r="F82" s="143"/>
    </row>
    <row r="83" spans="4:6">
      <c r="D83" s="143"/>
      <c r="E83" s="143"/>
      <c r="F83" s="143"/>
    </row>
    <row r="84" spans="4:6">
      <c r="D84" s="143"/>
      <c r="E84" s="143"/>
      <c r="F84" s="143"/>
    </row>
    <row r="85" spans="4:6">
      <c r="D85" s="143"/>
      <c r="E85" s="143"/>
      <c r="F85" s="143"/>
    </row>
    <row r="86" spans="4:6">
      <c r="D86" s="143"/>
      <c r="E86" s="143"/>
      <c r="F86" s="143"/>
    </row>
    <row r="87" spans="4:6">
      <c r="D87" s="143"/>
      <c r="E87" s="143"/>
      <c r="F87" s="143"/>
    </row>
    <row r="88" spans="4:6">
      <c r="D88" s="143"/>
      <c r="E88" s="143"/>
      <c r="F88" s="143"/>
    </row>
    <row r="89" spans="4:6">
      <c r="D89" s="143"/>
      <c r="E89" s="143"/>
      <c r="F89" s="143"/>
    </row>
    <row r="90" spans="4:6">
      <c r="D90" s="143"/>
      <c r="E90" s="143"/>
      <c r="F90" s="143"/>
    </row>
    <row r="91" spans="4:6">
      <c r="D91" s="143"/>
      <c r="E91" s="143"/>
      <c r="F91" s="143"/>
    </row>
    <row r="92" spans="4:6">
      <c r="D92" s="143"/>
      <c r="E92" s="143"/>
      <c r="F92" s="143"/>
    </row>
    <row r="93" spans="4:6">
      <c r="D93" s="143"/>
      <c r="E93" s="143"/>
      <c r="F93" s="143"/>
    </row>
    <row r="94" spans="4:6">
      <c r="D94" s="143"/>
      <c r="E94" s="143"/>
      <c r="F94" s="143"/>
    </row>
    <row r="95" spans="4:6">
      <c r="D95" s="143"/>
      <c r="E95" s="143"/>
      <c r="F95" s="143"/>
    </row>
    <row r="96" spans="4:6">
      <c r="D96" s="143"/>
      <c r="E96" s="143"/>
      <c r="F96" s="143"/>
    </row>
    <row r="97" spans="4:6">
      <c r="D97" s="143"/>
      <c r="E97" s="143"/>
      <c r="F97" s="143"/>
    </row>
    <row r="98" spans="4:6">
      <c r="D98" s="143"/>
      <c r="E98" s="143"/>
      <c r="F98" s="143"/>
    </row>
    <row r="99" spans="4:6">
      <c r="D99" s="143"/>
      <c r="E99" s="143"/>
      <c r="F99" s="143"/>
    </row>
    <row r="100" spans="4:6">
      <c r="D100" s="143"/>
      <c r="E100" s="143"/>
      <c r="F100" s="143"/>
    </row>
    <row r="101" spans="4:6">
      <c r="D101" s="143"/>
      <c r="E101" s="143"/>
      <c r="F101" s="143"/>
    </row>
    <row r="102" spans="4:6">
      <c r="D102" s="143"/>
      <c r="E102" s="143"/>
      <c r="F102" s="143"/>
    </row>
    <row r="103" spans="4:6">
      <c r="D103" s="143"/>
      <c r="E103" s="143"/>
      <c r="F103" s="143"/>
    </row>
    <row r="104" spans="4:6">
      <c r="D104" s="143"/>
      <c r="E104" s="143"/>
      <c r="F104" s="143"/>
    </row>
    <row r="105" spans="4:6">
      <c r="D105" s="143"/>
      <c r="E105" s="143"/>
      <c r="F105" s="143"/>
    </row>
    <row r="106" spans="4:6">
      <c r="D106" s="143"/>
      <c r="E106" s="143"/>
      <c r="F106" s="143"/>
    </row>
    <row r="107" spans="4:6">
      <c r="D107" s="143"/>
      <c r="E107" s="143"/>
      <c r="F107" s="143"/>
    </row>
    <row r="108" spans="4:6">
      <c r="D108" s="143"/>
      <c r="E108" s="143"/>
      <c r="F108" s="143"/>
    </row>
    <row r="109" spans="4:6">
      <c r="D109" s="143"/>
      <c r="E109" s="143"/>
      <c r="F109" s="143"/>
    </row>
    <row r="110" spans="4:6">
      <c r="D110" s="143"/>
      <c r="E110" s="143"/>
      <c r="F110" s="143"/>
    </row>
    <row r="111" spans="4:6">
      <c r="D111" s="143"/>
      <c r="E111" s="143"/>
      <c r="F111" s="143"/>
    </row>
    <row r="112" spans="4:6">
      <c r="D112" s="143"/>
      <c r="E112" s="143"/>
      <c r="F112" s="143"/>
    </row>
    <row r="113" spans="4:6">
      <c r="D113" s="143"/>
      <c r="E113" s="143"/>
      <c r="F113" s="143"/>
    </row>
    <row r="114" spans="4:6">
      <c r="D114" s="143"/>
      <c r="E114" s="143"/>
      <c r="F114" s="143"/>
    </row>
    <row r="115" spans="4:6">
      <c r="D115" s="143"/>
      <c r="E115" s="143"/>
      <c r="F115" s="143"/>
    </row>
    <row r="116" spans="4:6">
      <c r="D116" s="143"/>
      <c r="E116" s="143"/>
      <c r="F116" s="143"/>
    </row>
    <row r="117" spans="4:6">
      <c r="D117" s="143"/>
      <c r="E117" s="143"/>
      <c r="F117" s="143"/>
    </row>
    <row r="118" spans="4:6">
      <c r="D118" s="143"/>
      <c r="E118" s="143"/>
      <c r="F118" s="143"/>
    </row>
    <row r="119" spans="4:6">
      <c r="D119" s="143"/>
      <c r="E119" s="143"/>
      <c r="F119" s="143"/>
    </row>
    <row r="120" spans="4:6">
      <c r="D120" s="143"/>
      <c r="E120" s="143"/>
      <c r="F120" s="143"/>
    </row>
    <row r="121" spans="4:6">
      <c r="D121" s="143"/>
      <c r="E121" s="143"/>
      <c r="F121" s="143"/>
    </row>
    <row r="122" spans="4:6">
      <c r="D122" s="143"/>
      <c r="E122" s="143"/>
      <c r="F122" s="143"/>
    </row>
    <row r="123" spans="4:6">
      <c r="D123" s="143"/>
      <c r="E123" s="143"/>
      <c r="F123" s="143"/>
    </row>
    <row r="124" spans="4:6">
      <c r="D124" s="143"/>
      <c r="E124" s="143"/>
      <c r="F124" s="143"/>
    </row>
    <row r="125" spans="4:6">
      <c r="D125" s="143"/>
      <c r="E125" s="143"/>
      <c r="F125" s="143"/>
    </row>
    <row r="126" spans="4:6">
      <c r="D126" s="143"/>
      <c r="E126" s="143"/>
      <c r="F126" s="143"/>
    </row>
    <row r="127" spans="4:6">
      <c r="D127" s="143"/>
      <c r="E127" s="143"/>
      <c r="F127" s="143"/>
    </row>
    <row r="128" spans="4:6">
      <c r="D128" s="143"/>
      <c r="E128" s="143"/>
      <c r="F128" s="143"/>
    </row>
    <row r="129" spans="4:6">
      <c r="D129" s="143"/>
      <c r="E129" s="143"/>
      <c r="F129" s="143"/>
    </row>
    <row r="130" spans="4:6">
      <c r="D130" s="143"/>
      <c r="E130" s="143"/>
      <c r="F130" s="143"/>
    </row>
    <row r="131" spans="4:6">
      <c r="D131" s="143"/>
      <c r="E131" s="143"/>
      <c r="F131" s="143"/>
    </row>
    <row r="132" spans="4:6">
      <c r="D132" s="143"/>
      <c r="E132" s="143"/>
      <c r="F132" s="143"/>
    </row>
    <row r="133" spans="4:6">
      <c r="D133" s="143"/>
      <c r="E133" s="143"/>
      <c r="F133" s="143"/>
    </row>
    <row r="134" spans="4:6">
      <c r="D134" s="143"/>
      <c r="E134" s="143"/>
      <c r="F134" s="143"/>
    </row>
    <row r="135" spans="4:6">
      <c r="D135" s="143"/>
      <c r="E135" s="143"/>
      <c r="F135" s="143"/>
    </row>
    <row r="136" spans="4:6">
      <c r="D136" s="143"/>
      <c r="E136" s="143"/>
      <c r="F136" s="143"/>
    </row>
    <row r="137" spans="4:6">
      <c r="D137" s="143"/>
      <c r="E137" s="143"/>
      <c r="F137" s="143"/>
    </row>
    <row r="138" spans="4:6">
      <c r="D138" s="143"/>
      <c r="E138" s="143"/>
      <c r="F138" s="143"/>
    </row>
    <row r="139" spans="4:6">
      <c r="D139" s="143"/>
      <c r="E139" s="143"/>
      <c r="F139" s="143"/>
    </row>
    <row r="140" spans="4:6">
      <c r="D140" s="143"/>
      <c r="E140" s="143"/>
      <c r="F140" s="143"/>
    </row>
    <row r="141" spans="4:6">
      <c r="D141" s="143"/>
      <c r="E141" s="143"/>
      <c r="F141" s="143"/>
    </row>
    <row r="142" spans="4:6">
      <c r="D142" s="143"/>
      <c r="E142" s="143"/>
      <c r="F142" s="143"/>
    </row>
    <row r="143" spans="4:6">
      <c r="D143" s="143"/>
      <c r="E143" s="143"/>
      <c r="F143" s="143"/>
    </row>
    <row r="144" spans="4:6">
      <c r="D144" s="143"/>
      <c r="E144" s="143"/>
      <c r="F144" s="143"/>
    </row>
    <row r="145" spans="4:6">
      <c r="D145" s="143"/>
      <c r="E145" s="143"/>
      <c r="F145" s="143"/>
    </row>
    <row r="146" spans="4:6">
      <c r="D146" s="143"/>
      <c r="E146" s="143"/>
      <c r="F146" s="143"/>
    </row>
    <row r="147" spans="4:6">
      <c r="D147" s="143"/>
      <c r="E147" s="143"/>
      <c r="F147" s="143"/>
    </row>
    <row r="148" spans="4:6">
      <c r="D148" s="143"/>
      <c r="E148" s="143"/>
      <c r="F148" s="143"/>
    </row>
    <row r="149" spans="4:6">
      <c r="D149" s="143"/>
      <c r="E149" s="143"/>
      <c r="F149" s="143"/>
    </row>
    <row r="150" spans="4:6">
      <c r="D150" s="143"/>
      <c r="E150" s="143"/>
      <c r="F150" s="143"/>
    </row>
    <row r="151" spans="4:6">
      <c r="D151" s="143"/>
      <c r="E151" s="143"/>
      <c r="F151" s="143"/>
    </row>
    <row r="152" spans="4:6">
      <c r="D152" s="143"/>
      <c r="E152" s="143"/>
      <c r="F152" s="143"/>
    </row>
    <row r="153" spans="4:6">
      <c r="D153" s="143"/>
      <c r="E153" s="143"/>
      <c r="F153" s="143"/>
    </row>
    <row r="154" spans="4:6">
      <c r="D154" s="143"/>
      <c r="E154" s="143"/>
      <c r="F154" s="143"/>
    </row>
    <row r="155" spans="4:6">
      <c r="D155" s="143"/>
      <c r="E155" s="143"/>
      <c r="F155" s="143"/>
    </row>
    <row r="156" spans="4:6">
      <c r="D156" s="143"/>
      <c r="E156" s="143"/>
      <c r="F156" s="143"/>
    </row>
    <row r="157" spans="4:6">
      <c r="D157" s="143"/>
      <c r="E157" s="143"/>
      <c r="F157" s="143"/>
    </row>
    <row r="158" spans="4:6">
      <c r="D158" s="143"/>
      <c r="E158" s="143"/>
      <c r="F158" s="143"/>
    </row>
    <row r="159" spans="4:6">
      <c r="D159" s="143"/>
      <c r="E159" s="143"/>
      <c r="F159" s="143"/>
    </row>
    <row r="160" spans="4:6">
      <c r="D160" s="143"/>
      <c r="E160" s="143"/>
      <c r="F160" s="143"/>
    </row>
    <row r="161" spans="4:6">
      <c r="D161" s="143"/>
      <c r="E161" s="143"/>
      <c r="F161" s="143"/>
    </row>
    <row r="162" spans="4:6">
      <c r="D162" s="143"/>
      <c r="E162" s="143"/>
      <c r="F162" s="143"/>
    </row>
    <row r="163" spans="4:6">
      <c r="D163" s="143"/>
      <c r="E163" s="143"/>
      <c r="F163" s="143"/>
    </row>
    <row r="164" spans="4:6">
      <c r="D164" s="143"/>
      <c r="E164" s="143"/>
      <c r="F164" s="143"/>
    </row>
    <row r="165" spans="4:6">
      <c r="D165" s="143"/>
      <c r="E165" s="143"/>
      <c r="F165" s="143"/>
    </row>
    <row r="166" spans="4:6">
      <c r="D166" s="143"/>
      <c r="E166" s="143"/>
      <c r="F166" s="143"/>
    </row>
    <row r="167" spans="4:6">
      <c r="D167" s="143"/>
      <c r="E167" s="143"/>
      <c r="F167" s="143"/>
    </row>
    <row r="168" spans="4:6">
      <c r="D168" s="143"/>
      <c r="E168" s="143"/>
      <c r="F168" s="143"/>
    </row>
    <row r="169" spans="4:6">
      <c r="D169" s="143"/>
      <c r="E169" s="143"/>
      <c r="F169" s="143"/>
    </row>
    <row r="170" spans="4:6">
      <c r="D170" s="143"/>
      <c r="E170" s="143"/>
      <c r="F170" s="143"/>
    </row>
    <row r="171" spans="4:6">
      <c r="D171" s="143"/>
      <c r="E171" s="143"/>
      <c r="F171" s="143"/>
    </row>
    <row r="172" spans="4:6">
      <c r="D172" s="143"/>
      <c r="E172" s="143"/>
      <c r="F172" s="143"/>
    </row>
    <row r="173" spans="4:6">
      <c r="D173" s="143"/>
      <c r="E173" s="143"/>
      <c r="F173" s="143"/>
    </row>
    <row r="174" spans="4:6">
      <c r="D174" s="143"/>
      <c r="E174" s="143"/>
      <c r="F174" s="143"/>
    </row>
    <row r="175" spans="4:6">
      <c r="D175" s="143"/>
      <c r="E175" s="143"/>
      <c r="F175" s="143"/>
    </row>
    <row r="176" spans="4:6">
      <c r="D176" s="143"/>
      <c r="E176" s="143"/>
      <c r="F176" s="143"/>
    </row>
    <row r="177" spans="4:6">
      <c r="D177" s="143"/>
      <c r="E177" s="143"/>
      <c r="F177" s="143"/>
    </row>
    <row r="178" spans="4:6">
      <c r="D178" s="143"/>
      <c r="E178" s="143"/>
      <c r="F178" s="143"/>
    </row>
    <row r="179" spans="4:6">
      <c r="D179" s="143"/>
      <c r="E179" s="143"/>
      <c r="F179" s="143"/>
    </row>
    <row r="180" spans="4:6">
      <c r="D180" s="143"/>
      <c r="E180" s="143"/>
      <c r="F180" s="143"/>
    </row>
    <row r="181" spans="4:6">
      <c r="D181" s="143"/>
      <c r="E181" s="143"/>
      <c r="F181" s="143"/>
    </row>
    <row r="182" spans="4:6">
      <c r="D182" s="143"/>
      <c r="E182" s="143"/>
      <c r="F182" s="143"/>
    </row>
    <row r="183" spans="4:6">
      <c r="D183" s="143"/>
      <c r="E183" s="143"/>
      <c r="F183" s="143"/>
    </row>
    <row r="184" spans="4:6">
      <c r="D184" s="143"/>
      <c r="E184" s="143"/>
      <c r="F184" s="143"/>
    </row>
    <row r="185" spans="4:6">
      <c r="D185" s="143"/>
      <c r="E185" s="143"/>
      <c r="F185" s="143"/>
    </row>
    <row r="186" spans="4:6">
      <c r="D186" s="143"/>
      <c r="E186" s="143"/>
      <c r="F186" s="143"/>
    </row>
    <row r="187" spans="4:6">
      <c r="D187" s="143"/>
      <c r="E187" s="143"/>
      <c r="F187" s="143"/>
    </row>
    <row r="188" spans="4:6">
      <c r="D188" s="143"/>
      <c r="E188" s="143"/>
      <c r="F188" s="143"/>
    </row>
    <row r="189" spans="4:6">
      <c r="D189" s="143"/>
      <c r="E189" s="143"/>
      <c r="F189" s="143"/>
    </row>
    <row r="190" spans="4:6">
      <c r="D190" s="143"/>
      <c r="E190" s="143"/>
      <c r="F190" s="143"/>
    </row>
    <row r="191" spans="4:6">
      <c r="D191" s="143"/>
      <c r="E191" s="143"/>
      <c r="F191" s="143"/>
    </row>
    <row r="192" spans="4:6">
      <c r="D192" s="143"/>
      <c r="E192" s="143"/>
      <c r="F192" s="143"/>
    </row>
    <row r="193" spans="4:6">
      <c r="D193" s="143"/>
      <c r="E193" s="143"/>
      <c r="F193" s="143"/>
    </row>
    <row r="194" spans="4:6">
      <c r="D194" s="143"/>
      <c r="E194" s="143"/>
      <c r="F194" s="143"/>
    </row>
    <row r="195" spans="4:6">
      <c r="D195" s="143"/>
      <c r="E195" s="143"/>
      <c r="F195" s="143"/>
    </row>
    <row r="196" spans="4:6">
      <c r="D196" s="143"/>
      <c r="E196" s="143"/>
      <c r="F196" s="143"/>
    </row>
    <row r="197" spans="4:6">
      <c r="D197" s="143"/>
      <c r="E197" s="143"/>
      <c r="F197" s="143"/>
    </row>
    <row r="198" spans="4:6">
      <c r="D198" s="143"/>
      <c r="E198" s="143"/>
      <c r="F198" s="143"/>
    </row>
    <row r="199" spans="4:6">
      <c r="D199" s="143"/>
      <c r="E199" s="143"/>
      <c r="F199" s="143"/>
    </row>
    <row r="200" spans="4:6">
      <c r="D200" s="143"/>
      <c r="E200" s="143"/>
      <c r="F200" s="143"/>
    </row>
    <row r="201" spans="4:6">
      <c r="D201" s="143"/>
      <c r="E201" s="143"/>
      <c r="F201" s="143"/>
    </row>
    <row r="202" spans="4:6">
      <c r="D202" s="143"/>
      <c r="E202" s="143"/>
      <c r="F202" s="143"/>
    </row>
    <row r="203" spans="4:6">
      <c r="D203" s="143"/>
      <c r="E203" s="143"/>
      <c r="F203" s="143"/>
    </row>
    <row r="204" spans="4:6">
      <c r="D204" s="143"/>
      <c r="E204" s="143"/>
      <c r="F204" s="143"/>
    </row>
    <row r="205" spans="4:6">
      <c r="D205" s="143"/>
      <c r="E205" s="143"/>
      <c r="F205" s="143"/>
    </row>
    <row r="206" spans="4:6">
      <c r="D206" s="143"/>
      <c r="E206" s="143"/>
      <c r="F206" s="143"/>
    </row>
    <row r="207" spans="4:6">
      <c r="D207" s="143"/>
      <c r="E207" s="143"/>
      <c r="F207" s="143"/>
    </row>
    <row r="208" spans="4:6">
      <c r="D208" s="143"/>
      <c r="E208" s="143"/>
      <c r="F208" s="143"/>
    </row>
    <row r="209" spans="4:6">
      <c r="D209" s="143"/>
      <c r="E209" s="143"/>
      <c r="F209" s="143"/>
    </row>
    <row r="210" spans="4:6">
      <c r="D210" s="143"/>
      <c r="E210" s="143"/>
      <c r="F210" s="143"/>
    </row>
    <row r="211" spans="4:6">
      <c r="D211" s="143"/>
      <c r="E211" s="143"/>
      <c r="F211" s="143"/>
    </row>
    <row r="212" spans="4:6">
      <c r="D212" s="143"/>
      <c r="E212" s="143"/>
      <c r="F212" s="143"/>
    </row>
    <row r="213" spans="4:6">
      <c r="D213" s="143"/>
      <c r="E213" s="143"/>
      <c r="F213" s="143"/>
    </row>
    <row r="214" spans="4:6">
      <c r="D214" s="143"/>
      <c r="E214" s="143"/>
      <c r="F214" s="143"/>
    </row>
    <row r="215" spans="4:6">
      <c r="D215" s="143"/>
      <c r="E215" s="143"/>
      <c r="F215" s="143"/>
    </row>
    <row r="216" spans="4:6">
      <c r="D216" s="143"/>
      <c r="E216" s="143"/>
      <c r="F216" s="143"/>
    </row>
    <row r="217" spans="4:6">
      <c r="D217" s="143"/>
      <c r="E217" s="143"/>
      <c r="F217" s="143"/>
    </row>
    <row r="218" spans="4:6">
      <c r="D218" s="143"/>
      <c r="E218" s="143"/>
      <c r="F218" s="143"/>
    </row>
    <row r="219" spans="4:6">
      <c r="D219" s="143"/>
      <c r="E219" s="143"/>
      <c r="F219" s="143"/>
    </row>
    <row r="220" spans="4:6">
      <c r="D220" s="143"/>
      <c r="E220" s="143"/>
      <c r="F220" s="143"/>
    </row>
    <row r="221" spans="4:6">
      <c r="D221" s="143"/>
      <c r="E221" s="143"/>
      <c r="F221" s="143"/>
    </row>
    <row r="222" spans="4:6">
      <c r="D222" s="143"/>
      <c r="E222" s="143"/>
      <c r="F222" s="143"/>
    </row>
    <row r="223" spans="4:6">
      <c r="D223" s="143"/>
      <c r="E223" s="143"/>
      <c r="F223" s="143"/>
    </row>
    <row r="224" spans="4:6">
      <c r="D224" s="143"/>
      <c r="E224" s="143"/>
      <c r="F224" s="143"/>
    </row>
    <row r="225" spans="4:6">
      <c r="D225" s="143"/>
      <c r="E225" s="143"/>
      <c r="F225" s="143"/>
    </row>
    <row r="226" spans="4:6">
      <c r="D226" s="143"/>
      <c r="E226" s="143"/>
      <c r="F226" s="143"/>
    </row>
    <row r="227" spans="4:6">
      <c r="D227" s="143"/>
      <c r="E227" s="143"/>
      <c r="F227" s="143"/>
    </row>
    <row r="228" spans="4:6">
      <c r="D228" s="143"/>
      <c r="E228" s="143"/>
      <c r="F228" s="143"/>
    </row>
    <row r="229" spans="4:6">
      <c r="D229" s="143"/>
      <c r="E229" s="143"/>
      <c r="F229" s="143"/>
    </row>
    <row r="230" spans="4:6">
      <c r="D230" s="143"/>
      <c r="E230" s="143"/>
      <c r="F230" s="143"/>
    </row>
    <row r="231" spans="4:6">
      <c r="D231" s="143"/>
      <c r="E231" s="143"/>
      <c r="F231" s="143"/>
    </row>
    <row r="232" spans="4:6">
      <c r="D232" s="143"/>
      <c r="E232" s="143"/>
      <c r="F232" s="143"/>
    </row>
    <row r="233" spans="4:6">
      <c r="D233" s="143"/>
      <c r="E233" s="143"/>
      <c r="F233" s="143"/>
    </row>
    <row r="234" spans="4:6">
      <c r="D234" s="143"/>
      <c r="E234" s="143"/>
      <c r="F234" s="143"/>
    </row>
    <row r="235" spans="4:6">
      <c r="D235" s="143"/>
      <c r="E235" s="143"/>
      <c r="F235" s="143"/>
    </row>
    <row r="236" spans="4:6">
      <c r="D236" s="143"/>
      <c r="E236" s="143"/>
      <c r="F236" s="143"/>
    </row>
    <row r="237" spans="4:6">
      <c r="D237" s="143"/>
      <c r="E237" s="143"/>
      <c r="F237" s="143"/>
    </row>
    <row r="238" spans="4:6">
      <c r="D238" s="143"/>
      <c r="E238" s="143"/>
      <c r="F238" s="143"/>
    </row>
    <row r="239" spans="4:6">
      <c r="D239" s="143"/>
      <c r="E239" s="143"/>
      <c r="F239" s="143"/>
    </row>
    <row r="240" spans="4:6">
      <c r="D240" s="143"/>
      <c r="E240" s="143"/>
      <c r="F240" s="143"/>
    </row>
    <row r="241" spans="4:6">
      <c r="D241" s="143"/>
      <c r="E241" s="143"/>
      <c r="F241" s="143"/>
    </row>
    <row r="242" spans="4:6">
      <c r="D242" s="143"/>
      <c r="E242" s="143"/>
      <c r="F242" s="143"/>
    </row>
    <row r="243" spans="4:6">
      <c r="D243" s="143"/>
      <c r="E243" s="143"/>
      <c r="F243" s="143"/>
    </row>
    <row r="244" spans="4:6">
      <c r="D244" s="143"/>
      <c r="E244" s="143"/>
      <c r="F244" s="143"/>
    </row>
    <row r="245" spans="4:6">
      <c r="D245" s="143"/>
      <c r="E245" s="143"/>
      <c r="F245" s="143"/>
    </row>
    <row r="246" spans="4:6">
      <c r="D246" s="143"/>
      <c r="E246" s="143"/>
      <c r="F246" s="143"/>
    </row>
    <row r="247" spans="4:6">
      <c r="D247" s="143"/>
      <c r="E247" s="143"/>
      <c r="F247" s="143"/>
    </row>
    <row r="248" spans="4:6">
      <c r="D248" s="143"/>
      <c r="E248" s="143"/>
      <c r="F248" s="143"/>
    </row>
    <row r="249" spans="4:6">
      <c r="D249" s="143"/>
      <c r="E249" s="143"/>
      <c r="F249" s="143"/>
    </row>
    <row r="250" spans="4:6">
      <c r="D250" s="143"/>
      <c r="E250" s="143"/>
      <c r="F250" s="143"/>
    </row>
    <row r="251" spans="4:6">
      <c r="D251" s="143"/>
      <c r="E251" s="143"/>
      <c r="F251" s="143"/>
    </row>
    <row r="252" spans="4:6">
      <c r="D252" s="143"/>
      <c r="E252" s="143"/>
      <c r="F252" s="143"/>
    </row>
    <row r="253" spans="4:6">
      <c r="D253" s="143"/>
      <c r="E253" s="143"/>
      <c r="F253" s="143"/>
    </row>
    <row r="254" spans="4:6">
      <c r="D254" s="143"/>
      <c r="E254" s="143"/>
      <c r="F254" s="143"/>
    </row>
  </sheetData>
  <mergeCells count="2">
    <mergeCell ref="B2:F2"/>
    <mergeCell ref="B20:F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N55"/>
  <sheetViews>
    <sheetView showGridLines="0" topLeftCell="A27" zoomScale="90" zoomScaleNormal="90" zoomScalePageLayoutView="90" workbookViewId="0">
      <selection activeCell="K19" sqref="K19"/>
    </sheetView>
  </sheetViews>
  <sheetFormatPr baseColWidth="10" defaultColWidth="8.83203125" defaultRowHeight="14" x14ac:dyDescent="0"/>
  <cols>
    <col min="1" max="1" width="7" style="80" customWidth="1"/>
    <col min="2" max="2" width="31.33203125" style="80" bestFit="1" customWidth="1"/>
    <col min="3" max="7" width="2.83203125" style="80" customWidth="1"/>
    <col min="8" max="38" width="12.6640625" style="80" customWidth="1"/>
    <col min="39" max="39" width="13.83203125" style="81" customWidth="1"/>
    <col min="40" max="40" width="10" style="81" bestFit="1" customWidth="1"/>
    <col min="41" max="16384" width="8.83203125" style="81"/>
  </cols>
  <sheetData>
    <row r="1" spans="1:40">
      <c r="A1" s="288" t="s">
        <v>107</v>
      </c>
      <c r="B1" s="289"/>
    </row>
    <row r="2" spans="1:40">
      <c r="A2" s="290"/>
      <c r="B2" s="291" t="s">
        <v>75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35"/>
      <c r="AN2" s="136"/>
    </row>
    <row r="3" spans="1:40" ht="15" thickBot="1"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137"/>
      <c r="AN3" s="136"/>
    </row>
    <row r="4" spans="1:40">
      <c r="A4" s="84"/>
      <c r="B4" s="86" t="s">
        <v>241</v>
      </c>
      <c r="C4" s="87"/>
      <c r="D4" s="88"/>
      <c r="E4" s="88"/>
      <c r="F4" s="88"/>
      <c r="G4" s="88"/>
      <c r="H4" s="18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/>
      <c r="AM4" s="136"/>
      <c r="AN4" s="138"/>
    </row>
    <row r="5" spans="1:40">
      <c r="A5" s="84"/>
      <c r="B5" s="90" t="s">
        <v>112</v>
      </c>
      <c r="C5" s="91"/>
      <c r="D5" s="91"/>
      <c r="E5" s="91"/>
      <c r="F5" s="91"/>
      <c r="G5" s="91"/>
      <c r="H5" s="91">
        <f>H26</f>
        <v>0</v>
      </c>
      <c r="I5" s="91">
        <f>I26</f>
        <v>0</v>
      </c>
      <c r="J5" s="91">
        <f>J26</f>
        <v>0</v>
      </c>
      <c r="K5" s="91">
        <f>K26</f>
        <v>951.71999999999991</v>
      </c>
      <c r="L5" s="91">
        <f>L26</f>
        <v>150000</v>
      </c>
      <c r="M5" s="91">
        <f t="shared" ref="M5:AL5" si="0">M26</f>
        <v>17870.6957</v>
      </c>
      <c r="N5" s="91">
        <f t="shared" si="0"/>
        <v>25287.329600000001</v>
      </c>
      <c r="O5" s="91">
        <f t="shared" si="0"/>
        <v>173425.9872</v>
      </c>
      <c r="P5" s="91">
        <f t="shared" si="0"/>
        <v>26583.034500000002</v>
      </c>
      <c r="Q5" s="91">
        <f t="shared" si="0"/>
        <v>28104.435000000001</v>
      </c>
      <c r="R5" s="91">
        <f t="shared" si="0"/>
        <v>40656.381150000001</v>
      </c>
      <c r="S5" s="91">
        <f t="shared" si="0"/>
        <v>29737.9764</v>
      </c>
      <c r="T5" s="91">
        <f t="shared" si="0"/>
        <v>33944.642699999997</v>
      </c>
      <c r="U5" s="91">
        <f t="shared" si="0"/>
        <v>49861.316999999995</v>
      </c>
      <c r="V5" s="91">
        <f t="shared" si="0"/>
        <v>42889.611599999997</v>
      </c>
      <c r="W5" s="91">
        <f t="shared" si="0"/>
        <v>49084.025099999999</v>
      </c>
      <c r="X5" s="91">
        <f t="shared" si="0"/>
        <v>59875.5069</v>
      </c>
      <c r="Y5" s="91">
        <f t="shared" si="0"/>
        <v>70093.256915000005</v>
      </c>
      <c r="Z5" s="91">
        <f t="shared" si="0"/>
        <v>74399.305392499999</v>
      </c>
      <c r="AA5" s="91">
        <f t="shared" si="0"/>
        <v>94200.365214999983</v>
      </c>
      <c r="AB5" s="91">
        <f t="shared" si="0"/>
        <v>88880.616549999992</v>
      </c>
      <c r="AC5" s="91">
        <f t="shared" si="0"/>
        <v>90435.724885000003</v>
      </c>
      <c r="AD5" s="91">
        <f t="shared" si="0"/>
        <v>122051.14726749998</v>
      </c>
      <c r="AE5" s="91">
        <f t="shared" si="0"/>
        <v>93545.941554999998</v>
      </c>
      <c r="AF5" s="91">
        <f t="shared" si="0"/>
        <v>95101.049889999995</v>
      </c>
      <c r="AG5" s="91">
        <f t="shared" si="0"/>
        <v>142883.73632500001</v>
      </c>
      <c r="AH5" s="91">
        <f t="shared" si="0"/>
        <v>127435.57799499999</v>
      </c>
      <c r="AI5" s="91">
        <f t="shared" si="0"/>
        <v>114859.11629500001</v>
      </c>
      <c r="AJ5" s="91">
        <f t="shared" si="0"/>
        <v>134939.35790499998</v>
      </c>
      <c r="AK5" s="91">
        <f t="shared" si="0"/>
        <v>134600.30431925002</v>
      </c>
      <c r="AL5" s="92">
        <f t="shared" si="0"/>
        <v>148228.40347287501</v>
      </c>
      <c r="AM5" s="136"/>
      <c r="AN5" s="135"/>
    </row>
    <row r="6" spans="1:40">
      <c r="A6" s="84"/>
      <c r="B6" s="90" t="s">
        <v>113</v>
      </c>
      <c r="C6" s="91"/>
      <c r="D6" s="91"/>
      <c r="E6" s="91"/>
      <c r="F6" s="91"/>
      <c r="G6" s="91"/>
      <c r="H6" s="91">
        <f>H48</f>
        <v>5483.72</v>
      </c>
      <c r="I6" s="91">
        <f>I48</f>
        <v>35697.895000000004</v>
      </c>
      <c r="J6" s="91">
        <f>J48</f>
        <v>17584.77985339806</v>
      </c>
      <c r="K6" s="91">
        <f>K48</f>
        <v>35495.661353398064</v>
      </c>
      <c r="L6" s="91">
        <f>L48</f>
        <v>21463.89635339806</v>
      </c>
      <c r="M6" s="91">
        <f t="shared" ref="M6:AL6" si="1">M48</f>
        <v>20775.798330628433</v>
      </c>
      <c r="N6" s="91">
        <f t="shared" si="1"/>
        <v>25590.258330628432</v>
      </c>
      <c r="O6" s="91">
        <f t="shared" si="1"/>
        <v>88863.275830628438</v>
      </c>
      <c r="P6" s="91">
        <f t="shared" si="1"/>
        <v>25714.269830628433</v>
      </c>
      <c r="Q6" s="91">
        <f t="shared" si="1"/>
        <v>25714.269830628433</v>
      </c>
      <c r="R6" s="91">
        <f t="shared" si="1"/>
        <v>52557.212330628434</v>
      </c>
      <c r="S6" s="91">
        <f t="shared" si="1"/>
        <v>29936.737330628432</v>
      </c>
      <c r="T6" s="91">
        <f t="shared" si="1"/>
        <v>48709.887330628429</v>
      </c>
      <c r="U6" s="91">
        <f t="shared" si="1"/>
        <v>37398.249580628435</v>
      </c>
      <c r="V6" s="91">
        <f t="shared" si="1"/>
        <v>35774.512848927952</v>
      </c>
      <c r="W6" s="91">
        <f t="shared" si="1"/>
        <v>39883.10241258231</v>
      </c>
      <c r="X6" s="91">
        <f t="shared" si="1"/>
        <v>48645.458290235874</v>
      </c>
      <c r="Y6" s="91">
        <f t="shared" si="1"/>
        <v>32431.833807787891</v>
      </c>
      <c r="Z6" s="91">
        <f t="shared" si="1"/>
        <v>46202.060065336773</v>
      </c>
      <c r="AA6" s="91">
        <f t="shared" si="1"/>
        <v>81732.07782048115</v>
      </c>
      <c r="AB6" s="91">
        <f t="shared" si="1"/>
        <v>34901.427700819913</v>
      </c>
      <c r="AC6" s="91">
        <f t="shared" si="1"/>
        <v>47110.344078952199</v>
      </c>
      <c r="AD6" s="91">
        <f t="shared" si="1"/>
        <v>74467.666147477372</v>
      </c>
      <c r="AE6" s="91">
        <f t="shared" si="1"/>
        <v>46480.376956495063</v>
      </c>
      <c r="AF6" s="91">
        <f t="shared" si="1"/>
        <v>39879.843456105125</v>
      </c>
      <c r="AG6" s="91">
        <f t="shared" si="1"/>
        <v>100407.76145890768</v>
      </c>
      <c r="AH6" s="91">
        <f t="shared" si="1"/>
        <v>43002.476577503083</v>
      </c>
      <c r="AI6" s="91">
        <f t="shared" si="1"/>
        <v>43371.543199491949</v>
      </c>
      <c r="AJ6" s="91">
        <f t="shared" si="1"/>
        <v>88425.152977475111</v>
      </c>
      <c r="AK6" s="91">
        <f t="shared" si="1"/>
        <v>43371.576566553689</v>
      </c>
      <c r="AL6" s="92">
        <f t="shared" si="1"/>
        <v>42995.693311829033</v>
      </c>
      <c r="AM6" s="136"/>
      <c r="AN6" s="135"/>
    </row>
    <row r="7" spans="1:40" ht="15" thickBot="1">
      <c r="A7" s="84"/>
      <c r="B7" s="93" t="s">
        <v>77</v>
      </c>
      <c r="C7" s="94"/>
      <c r="D7" s="94"/>
      <c r="E7" s="94"/>
      <c r="F7" s="94"/>
      <c r="G7" s="94"/>
      <c r="H7" s="94">
        <f t="shared" ref="H7:L7" si="2">H5-H6</f>
        <v>-5483.72</v>
      </c>
      <c r="I7" s="94">
        <f t="shared" si="2"/>
        <v>-35697.895000000004</v>
      </c>
      <c r="J7" s="94">
        <f t="shared" si="2"/>
        <v>-17584.77985339806</v>
      </c>
      <c r="K7" s="94">
        <f t="shared" si="2"/>
        <v>-34543.941353398062</v>
      </c>
      <c r="L7" s="94">
        <f t="shared" si="2"/>
        <v>128536.10364660194</v>
      </c>
      <c r="M7" s="94">
        <f t="shared" ref="M7:AL7" si="3">M5-M6</f>
        <v>-2905.102630628433</v>
      </c>
      <c r="N7" s="94">
        <f t="shared" si="3"/>
        <v>-302.92873062843137</v>
      </c>
      <c r="O7" s="94">
        <f t="shared" si="3"/>
        <v>84562.711369371566</v>
      </c>
      <c r="P7" s="94">
        <f t="shared" si="3"/>
        <v>868.76466937156874</v>
      </c>
      <c r="Q7" s="94">
        <f t="shared" si="3"/>
        <v>2390.1651693715685</v>
      </c>
      <c r="R7" s="94">
        <f t="shared" si="3"/>
        <v>-11900.831180628433</v>
      </c>
      <c r="S7" s="94">
        <f t="shared" si="3"/>
        <v>-198.76093062843211</v>
      </c>
      <c r="T7" s="94">
        <f t="shared" si="3"/>
        <v>-14765.244630628433</v>
      </c>
      <c r="U7" s="94">
        <f t="shared" si="3"/>
        <v>12463.06741937156</v>
      </c>
      <c r="V7" s="94">
        <f t="shared" si="3"/>
        <v>7115.0987510720443</v>
      </c>
      <c r="W7" s="94">
        <f t="shared" si="3"/>
        <v>9200.9226874176893</v>
      </c>
      <c r="X7" s="94">
        <f t="shared" si="3"/>
        <v>11230.048609764126</v>
      </c>
      <c r="Y7" s="94">
        <f t="shared" si="3"/>
        <v>37661.423107212118</v>
      </c>
      <c r="Z7" s="94">
        <f t="shared" si="3"/>
        <v>28197.245327163226</v>
      </c>
      <c r="AA7" s="94">
        <f t="shared" si="3"/>
        <v>12468.287394518833</v>
      </c>
      <c r="AB7" s="94">
        <f t="shared" si="3"/>
        <v>53979.188849180078</v>
      </c>
      <c r="AC7" s="94">
        <f t="shared" si="3"/>
        <v>43325.380806047804</v>
      </c>
      <c r="AD7" s="94">
        <f t="shared" si="3"/>
        <v>47583.48112002261</v>
      </c>
      <c r="AE7" s="94">
        <f t="shared" si="3"/>
        <v>47065.564598504934</v>
      </c>
      <c r="AF7" s="94">
        <f t="shared" si="3"/>
        <v>55221.206433894869</v>
      </c>
      <c r="AG7" s="94">
        <f t="shared" si="3"/>
        <v>42475.974866092321</v>
      </c>
      <c r="AH7" s="94">
        <f t="shared" si="3"/>
        <v>84433.101417496902</v>
      </c>
      <c r="AI7" s="94">
        <f t="shared" si="3"/>
        <v>71487.573095508065</v>
      </c>
      <c r="AJ7" s="94">
        <f t="shared" si="3"/>
        <v>46514.204927524872</v>
      </c>
      <c r="AK7" s="94">
        <f t="shared" si="3"/>
        <v>91228.72775269633</v>
      </c>
      <c r="AL7" s="95">
        <f t="shared" si="3"/>
        <v>105232.71016104598</v>
      </c>
      <c r="AM7" s="135"/>
      <c r="AN7" s="136"/>
    </row>
    <row r="8" spans="1:40" ht="16" thickTop="1" thickBot="1">
      <c r="A8" s="84"/>
      <c r="B8" s="96" t="s">
        <v>78</v>
      </c>
      <c r="C8" s="97"/>
      <c r="D8" s="97"/>
      <c r="E8" s="97"/>
      <c r="F8" s="97"/>
      <c r="G8" s="97"/>
      <c r="H8" s="97">
        <f>G8+H7</f>
        <v>-5483.72</v>
      </c>
      <c r="I8" s="97">
        <f>H8+I7</f>
        <v>-41181.615000000005</v>
      </c>
      <c r="J8" s="97">
        <f>I8+J7</f>
        <v>-58766.394853398066</v>
      </c>
      <c r="K8" s="97">
        <f t="shared" ref="K8:AL8" si="4">J8+K7</f>
        <v>-93310.336206796128</v>
      </c>
      <c r="L8" s="97">
        <f t="shared" si="4"/>
        <v>35225.767439805815</v>
      </c>
      <c r="M8" s="97">
        <f t="shared" si="4"/>
        <v>32320.664809177382</v>
      </c>
      <c r="N8" s="97">
        <f t="shared" si="4"/>
        <v>32017.736078548951</v>
      </c>
      <c r="O8" s="97">
        <f t="shared" si="4"/>
        <v>116580.44744792051</v>
      </c>
      <c r="P8" s="97">
        <f t="shared" si="4"/>
        <v>117449.21211729207</v>
      </c>
      <c r="Q8" s="97">
        <f t="shared" si="4"/>
        <v>119839.37728666364</v>
      </c>
      <c r="R8" s="97">
        <f t="shared" si="4"/>
        <v>107938.54610603521</v>
      </c>
      <c r="S8" s="97">
        <f t="shared" si="4"/>
        <v>107739.78517540678</v>
      </c>
      <c r="T8" s="97">
        <f t="shared" si="4"/>
        <v>92974.540544778341</v>
      </c>
      <c r="U8" s="97">
        <f t="shared" si="4"/>
        <v>105437.60796414991</v>
      </c>
      <c r="V8" s="97">
        <f t="shared" si="4"/>
        <v>112552.70671522195</v>
      </c>
      <c r="W8" s="97">
        <f t="shared" si="4"/>
        <v>121753.62940263964</v>
      </c>
      <c r="X8" s="97">
        <f t="shared" si="4"/>
        <v>132983.67801240378</v>
      </c>
      <c r="Y8" s="97">
        <f t="shared" si="4"/>
        <v>170645.10111961589</v>
      </c>
      <c r="Z8" s="97">
        <f t="shared" si="4"/>
        <v>198842.34644677912</v>
      </c>
      <c r="AA8" s="97">
        <f t="shared" si="4"/>
        <v>211310.63384129794</v>
      </c>
      <c r="AB8" s="97">
        <f t="shared" si="4"/>
        <v>265289.822690478</v>
      </c>
      <c r="AC8" s="97">
        <f t="shared" si="4"/>
        <v>308615.20349652582</v>
      </c>
      <c r="AD8" s="97">
        <f t="shared" si="4"/>
        <v>356198.68461654842</v>
      </c>
      <c r="AE8" s="97">
        <f t="shared" si="4"/>
        <v>403264.24921505334</v>
      </c>
      <c r="AF8" s="97">
        <f t="shared" si="4"/>
        <v>458485.45564894821</v>
      </c>
      <c r="AG8" s="97">
        <f t="shared" si="4"/>
        <v>500961.43051504053</v>
      </c>
      <c r="AH8" s="97">
        <f t="shared" si="4"/>
        <v>585394.53193253744</v>
      </c>
      <c r="AI8" s="97">
        <f t="shared" si="4"/>
        <v>656882.10502804548</v>
      </c>
      <c r="AJ8" s="97">
        <f t="shared" si="4"/>
        <v>703396.30995557038</v>
      </c>
      <c r="AK8" s="97">
        <f t="shared" si="4"/>
        <v>794625.03770826675</v>
      </c>
      <c r="AL8" s="97">
        <f t="shared" si="4"/>
        <v>899857.74786931276</v>
      </c>
      <c r="AM8" s="128"/>
      <c r="AN8" s="128"/>
    </row>
    <row r="9" spans="1:40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N9" s="128"/>
    </row>
    <row r="10" spans="1:40">
      <c r="A10" s="331" t="s">
        <v>108</v>
      </c>
      <c r="B10" s="331"/>
      <c r="C10" s="139">
        <v>43101</v>
      </c>
      <c r="D10" s="139">
        <v>43132</v>
      </c>
      <c r="E10" s="139">
        <v>43160</v>
      </c>
      <c r="F10" s="139">
        <v>43191</v>
      </c>
      <c r="G10" s="139">
        <v>43221</v>
      </c>
      <c r="H10" s="139">
        <v>43252</v>
      </c>
      <c r="I10" s="139">
        <v>43282</v>
      </c>
      <c r="J10" s="139">
        <v>43313</v>
      </c>
      <c r="K10" s="139">
        <v>43344</v>
      </c>
      <c r="L10" s="139">
        <v>43374</v>
      </c>
      <c r="M10" s="139">
        <v>43405</v>
      </c>
      <c r="N10" s="139">
        <v>43435</v>
      </c>
      <c r="O10" s="139">
        <v>43466</v>
      </c>
      <c r="P10" s="139">
        <v>43497</v>
      </c>
      <c r="Q10" s="139">
        <v>43525</v>
      </c>
      <c r="R10" s="139">
        <v>43556</v>
      </c>
      <c r="S10" s="139">
        <v>43586</v>
      </c>
      <c r="T10" s="139">
        <v>43617</v>
      </c>
      <c r="U10" s="139">
        <v>43647</v>
      </c>
      <c r="V10" s="139">
        <v>43678</v>
      </c>
      <c r="W10" s="139">
        <v>43709</v>
      </c>
      <c r="X10" s="139">
        <v>43739</v>
      </c>
      <c r="Y10" s="139">
        <v>43770</v>
      </c>
      <c r="Z10" s="139">
        <v>43800</v>
      </c>
      <c r="AA10" s="139">
        <v>43831</v>
      </c>
      <c r="AB10" s="139">
        <v>43862</v>
      </c>
      <c r="AC10" s="139">
        <v>43891</v>
      </c>
      <c r="AD10" s="139">
        <v>43922</v>
      </c>
      <c r="AE10" s="139">
        <v>43952</v>
      </c>
      <c r="AF10" s="139">
        <v>43983</v>
      </c>
      <c r="AG10" s="139">
        <v>44013</v>
      </c>
      <c r="AH10" s="139">
        <v>44044</v>
      </c>
      <c r="AI10" s="139">
        <v>44075</v>
      </c>
      <c r="AJ10" s="139">
        <v>44105</v>
      </c>
      <c r="AK10" s="139">
        <v>44136</v>
      </c>
      <c r="AL10" s="139">
        <v>44166</v>
      </c>
    </row>
    <row r="11" spans="1:40">
      <c r="A11" s="98"/>
    </row>
    <row r="12" spans="1:40">
      <c r="A12" s="100" t="s">
        <v>273</v>
      </c>
    </row>
    <row r="13" spans="1:40">
      <c r="B13" s="184" t="s">
        <v>273</v>
      </c>
      <c r="C13" s="109"/>
      <c r="D13" s="109"/>
      <c r="E13" s="109"/>
      <c r="F13" s="109"/>
      <c r="G13" s="109"/>
      <c r="H13" s="109">
        <f>Sales!I13*1.21</f>
        <v>0</v>
      </c>
      <c r="I13" s="109">
        <f>Sales!J13*1.21</f>
        <v>0</v>
      </c>
      <c r="J13" s="109">
        <f>Sales!K13*1.21</f>
        <v>0</v>
      </c>
      <c r="K13" s="109">
        <f>Sales!L13*1.21</f>
        <v>0</v>
      </c>
      <c r="L13" s="109">
        <f>Sales!M13*1.21</f>
        <v>0</v>
      </c>
      <c r="M13" s="109">
        <f>Sales!N13*1.21</f>
        <v>17870.6957</v>
      </c>
      <c r="N13" s="109">
        <f>Sales!O13*1.21</f>
        <v>13030.018100000001</v>
      </c>
      <c r="O13" s="109">
        <f>Sales!D29*1.21</f>
        <v>23425.9872</v>
      </c>
      <c r="P13" s="109">
        <f>Sales!E29*1.21</f>
        <v>26583.034500000002</v>
      </c>
      <c r="Q13" s="109">
        <f>Sales!F29*1.21</f>
        <v>27634.681800000002</v>
      </c>
      <c r="R13" s="109">
        <f>Sales!G29*1.21</f>
        <v>40656.381150000001</v>
      </c>
      <c r="S13" s="109">
        <f>Sales!H29*1.21</f>
        <v>29737.9764</v>
      </c>
      <c r="T13" s="109">
        <f>Sales!I29*1.21</f>
        <v>30789.6237</v>
      </c>
      <c r="U13" s="109">
        <f>Sales!J29*1.21</f>
        <v>49861.316999999995</v>
      </c>
      <c r="V13" s="109">
        <f>Sales!K29*1.21</f>
        <v>42889.611599999997</v>
      </c>
      <c r="W13" s="109">
        <f>Sales!L29*1.21</f>
        <v>49084.025099999999</v>
      </c>
      <c r="X13" s="109">
        <f>Sales!M29*1.21</f>
        <v>59875.5069</v>
      </c>
      <c r="Y13" s="109">
        <f>Sales!N29*1.21</f>
        <v>70093.256915000005</v>
      </c>
      <c r="Z13" s="109">
        <f>Sales!O29*1.21</f>
        <v>74399.305392499999</v>
      </c>
      <c r="AA13" s="109">
        <f>Sales!D46*1.21</f>
        <v>94200.365214999983</v>
      </c>
      <c r="AB13" s="109">
        <f>Sales!E46*1.21</f>
        <v>88880.616549999992</v>
      </c>
      <c r="AC13" s="109">
        <f>Sales!F46*1.21</f>
        <v>90435.724885000003</v>
      </c>
      <c r="AD13" s="109">
        <f>Sales!G46*1.21</f>
        <v>122051.14726749998</v>
      </c>
      <c r="AE13" s="109">
        <f>Sales!H46*1.21</f>
        <v>93545.941554999998</v>
      </c>
      <c r="AF13" s="109">
        <f>Sales!I46*1.21</f>
        <v>95101.049889999995</v>
      </c>
      <c r="AG13" s="109">
        <f>Sales!J46*1.21</f>
        <v>142883.73632500001</v>
      </c>
      <c r="AH13" s="109">
        <f>Sales!K46*1.21</f>
        <v>127435.57799499999</v>
      </c>
      <c r="AI13" s="109">
        <f>Sales!L46*1.21</f>
        <v>114859.11629500001</v>
      </c>
      <c r="AJ13" s="109">
        <f>Sales!M46*1.21</f>
        <v>134939.35790499998</v>
      </c>
      <c r="AK13" s="109">
        <f>Sales!N46*1.21</f>
        <v>134600.30431925002</v>
      </c>
      <c r="AL13" s="109">
        <f>Sales!O46*1.21</f>
        <v>148228.40347287501</v>
      </c>
      <c r="AM13" s="101"/>
    </row>
    <row r="14" spans="1:40">
      <c r="B14" s="102" t="s">
        <v>76</v>
      </c>
      <c r="C14" s="103">
        <f t="shared" ref="C14:AL14" si="5">SUM(C13:C13)</f>
        <v>0</v>
      </c>
      <c r="D14" s="103">
        <f t="shared" si="5"/>
        <v>0</v>
      </c>
      <c r="E14" s="103">
        <f t="shared" si="5"/>
        <v>0</v>
      </c>
      <c r="F14" s="103">
        <f t="shared" si="5"/>
        <v>0</v>
      </c>
      <c r="G14" s="103">
        <f t="shared" si="5"/>
        <v>0</v>
      </c>
      <c r="H14" s="103">
        <f t="shared" si="5"/>
        <v>0</v>
      </c>
      <c r="I14" s="103">
        <f t="shared" si="5"/>
        <v>0</v>
      </c>
      <c r="J14" s="103">
        <f t="shared" si="5"/>
        <v>0</v>
      </c>
      <c r="K14" s="103">
        <f t="shared" si="5"/>
        <v>0</v>
      </c>
      <c r="L14" s="103">
        <f t="shared" si="5"/>
        <v>0</v>
      </c>
      <c r="M14" s="103">
        <f t="shared" si="5"/>
        <v>17870.6957</v>
      </c>
      <c r="N14" s="103">
        <f t="shared" si="5"/>
        <v>13030.018100000001</v>
      </c>
      <c r="O14" s="103">
        <f t="shared" si="5"/>
        <v>23425.9872</v>
      </c>
      <c r="P14" s="103">
        <f t="shared" si="5"/>
        <v>26583.034500000002</v>
      </c>
      <c r="Q14" s="103">
        <f t="shared" si="5"/>
        <v>27634.681800000002</v>
      </c>
      <c r="R14" s="103">
        <f t="shared" si="5"/>
        <v>40656.381150000001</v>
      </c>
      <c r="S14" s="103">
        <f t="shared" si="5"/>
        <v>29737.9764</v>
      </c>
      <c r="T14" s="103">
        <f t="shared" si="5"/>
        <v>30789.6237</v>
      </c>
      <c r="U14" s="103">
        <f t="shared" si="5"/>
        <v>49861.316999999995</v>
      </c>
      <c r="V14" s="103">
        <f t="shared" si="5"/>
        <v>42889.611599999997</v>
      </c>
      <c r="W14" s="103">
        <f t="shared" si="5"/>
        <v>49084.025099999999</v>
      </c>
      <c r="X14" s="103">
        <f t="shared" si="5"/>
        <v>59875.5069</v>
      </c>
      <c r="Y14" s="103">
        <f t="shared" si="5"/>
        <v>70093.256915000005</v>
      </c>
      <c r="Z14" s="103">
        <f t="shared" si="5"/>
        <v>74399.305392499999</v>
      </c>
      <c r="AA14" s="103">
        <f t="shared" si="5"/>
        <v>94200.365214999983</v>
      </c>
      <c r="AB14" s="103">
        <f t="shared" si="5"/>
        <v>88880.616549999992</v>
      </c>
      <c r="AC14" s="103">
        <f t="shared" si="5"/>
        <v>90435.724885000003</v>
      </c>
      <c r="AD14" s="103">
        <f t="shared" si="5"/>
        <v>122051.14726749998</v>
      </c>
      <c r="AE14" s="103">
        <f t="shared" si="5"/>
        <v>93545.941554999998</v>
      </c>
      <c r="AF14" s="103">
        <f t="shared" si="5"/>
        <v>95101.049889999995</v>
      </c>
      <c r="AG14" s="103">
        <f t="shared" si="5"/>
        <v>142883.73632500001</v>
      </c>
      <c r="AH14" s="103">
        <f t="shared" si="5"/>
        <v>127435.57799499999</v>
      </c>
      <c r="AI14" s="103">
        <f t="shared" si="5"/>
        <v>114859.11629500001</v>
      </c>
      <c r="AJ14" s="103">
        <f t="shared" si="5"/>
        <v>134939.35790499998</v>
      </c>
      <c r="AK14" s="103">
        <f t="shared" si="5"/>
        <v>134600.30431925002</v>
      </c>
      <c r="AL14" s="103">
        <f t="shared" si="5"/>
        <v>148228.40347287501</v>
      </c>
      <c r="AM14" s="107"/>
    </row>
    <row r="15" spans="1:40">
      <c r="B15" s="102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292"/>
    </row>
    <row r="16" spans="1:40">
      <c r="A16" s="105" t="s">
        <v>79</v>
      </c>
      <c r="B16" s="102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</row>
    <row r="17" spans="1:40">
      <c r="A17" s="99"/>
      <c r="B17" s="140" t="s">
        <v>79</v>
      </c>
      <c r="C17" s="141"/>
      <c r="D17" s="141"/>
      <c r="E17" s="141"/>
      <c r="F17" s="141"/>
      <c r="G17" s="141"/>
      <c r="H17" s="141">
        <f>IF(H55&gt;0,H55,0)</f>
        <v>0</v>
      </c>
      <c r="I17" s="141">
        <f t="shared" ref="I17:AL17" si="6">IF(I55&gt;0,I55,0)</f>
        <v>0</v>
      </c>
      <c r="J17" s="141">
        <f t="shared" si="6"/>
        <v>0</v>
      </c>
      <c r="K17" s="141">
        <f t="shared" si="6"/>
        <v>951.71999999999991</v>
      </c>
      <c r="L17" s="141">
        <f t="shared" si="6"/>
        <v>0</v>
      </c>
      <c r="M17" s="141">
        <f t="shared" si="6"/>
        <v>0</v>
      </c>
      <c r="N17" s="141">
        <f t="shared" si="6"/>
        <v>12257.3115</v>
      </c>
      <c r="O17" s="141">
        <f t="shared" si="6"/>
        <v>0</v>
      </c>
      <c r="P17" s="141">
        <f t="shared" si="6"/>
        <v>0</v>
      </c>
      <c r="Q17" s="141">
        <f t="shared" si="6"/>
        <v>469.7531999999992</v>
      </c>
      <c r="R17" s="141">
        <f t="shared" si="6"/>
        <v>0</v>
      </c>
      <c r="S17" s="141">
        <f t="shared" si="6"/>
        <v>0</v>
      </c>
      <c r="T17" s="141">
        <f t="shared" si="6"/>
        <v>3155.0189999999966</v>
      </c>
      <c r="U17" s="141">
        <f t="shared" si="6"/>
        <v>0</v>
      </c>
      <c r="V17" s="141">
        <f t="shared" si="6"/>
        <v>0</v>
      </c>
      <c r="W17" s="141">
        <f t="shared" si="6"/>
        <v>0</v>
      </c>
      <c r="X17" s="141">
        <f t="shared" si="6"/>
        <v>0</v>
      </c>
      <c r="Y17" s="141">
        <f t="shared" si="6"/>
        <v>0</v>
      </c>
      <c r="Z17" s="141">
        <f t="shared" si="6"/>
        <v>0</v>
      </c>
      <c r="AA17" s="141">
        <f t="shared" si="6"/>
        <v>0</v>
      </c>
      <c r="AB17" s="141">
        <f t="shared" si="6"/>
        <v>0</v>
      </c>
      <c r="AC17" s="141">
        <f t="shared" si="6"/>
        <v>0</v>
      </c>
      <c r="AD17" s="141">
        <f t="shared" si="6"/>
        <v>0</v>
      </c>
      <c r="AE17" s="141">
        <f t="shared" si="6"/>
        <v>0</v>
      </c>
      <c r="AF17" s="141">
        <f t="shared" si="6"/>
        <v>0</v>
      </c>
      <c r="AG17" s="141">
        <f t="shared" si="6"/>
        <v>0</v>
      </c>
      <c r="AH17" s="141">
        <f t="shared" si="6"/>
        <v>0</v>
      </c>
      <c r="AI17" s="141">
        <f t="shared" si="6"/>
        <v>0</v>
      </c>
      <c r="AJ17" s="141">
        <f t="shared" si="6"/>
        <v>0</v>
      </c>
      <c r="AK17" s="141">
        <f t="shared" si="6"/>
        <v>0</v>
      </c>
      <c r="AL17" s="141">
        <f t="shared" si="6"/>
        <v>0</v>
      </c>
    </row>
    <row r="18" spans="1:40">
      <c r="A18" s="99"/>
      <c r="B18" s="102" t="s">
        <v>76</v>
      </c>
      <c r="C18" s="103">
        <f>C17</f>
        <v>0</v>
      </c>
      <c r="D18" s="103">
        <f t="shared" ref="D18:AL18" si="7">D17</f>
        <v>0</v>
      </c>
      <c r="E18" s="103">
        <f t="shared" si="7"/>
        <v>0</v>
      </c>
      <c r="F18" s="103">
        <f t="shared" si="7"/>
        <v>0</v>
      </c>
      <c r="G18" s="103">
        <f t="shared" si="7"/>
        <v>0</v>
      </c>
      <c r="H18" s="103">
        <f t="shared" si="7"/>
        <v>0</v>
      </c>
      <c r="I18" s="103">
        <f t="shared" si="7"/>
        <v>0</v>
      </c>
      <c r="J18" s="103">
        <f t="shared" si="7"/>
        <v>0</v>
      </c>
      <c r="K18" s="103">
        <f t="shared" si="7"/>
        <v>951.71999999999991</v>
      </c>
      <c r="L18" s="103">
        <f t="shared" si="7"/>
        <v>0</v>
      </c>
      <c r="M18" s="103">
        <f t="shared" si="7"/>
        <v>0</v>
      </c>
      <c r="N18" s="103">
        <f t="shared" si="7"/>
        <v>12257.3115</v>
      </c>
      <c r="O18" s="103">
        <f t="shared" si="7"/>
        <v>0</v>
      </c>
      <c r="P18" s="103">
        <f t="shared" si="7"/>
        <v>0</v>
      </c>
      <c r="Q18" s="103">
        <f t="shared" si="7"/>
        <v>469.7531999999992</v>
      </c>
      <c r="R18" s="103">
        <f t="shared" si="7"/>
        <v>0</v>
      </c>
      <c r="S18" s="103">
        <f t="shared" si="7"/>
        <v>0</v>
      </c>
      <c r="T18" s="103">
        <f t="shared" si="7"/>
        <v>3155.0189999999966</v>
      </c>
      <c r="U18" s="103">
        <f t="shared" si="7"/>
        <v>0</v>
      </c>
      <c r="V18" s="103">
        <f t="shared" si="7"/>
        <v>0</v>
      </c>
      <c r="W18" s="103">
        <f t="shared" si="7"/>
        <v>0</v>
      </c>
      <c r="X18" s="103">
        <f t="shared" si="7"/>
        <v>0</v>
      </c>
      <c r="Y18" s="103">
        <f t="shared" si="7"/>
        <v>0</v>
      </c>
      <c r="Z18" s="103">
        <f t="shared" si="7"/>
        <v>0</v>
      </c>
      <c r="AA18" s="103">
        <f t="shared" si="7"/>
        <v>0</v>
      </c>
      <c r="AB18" s="103">
        <f t="shared" si="7"/>
        <v>0</v>
      </c>
      <c r="AC18" s="103">
        <f t="shared" si="7"/>
        <v>0</v>
      </c>
      <c r="AD18" s="103">
        <f t="shared" si="7"/>
        <v>0</v>
      </c>
      <c r="AE18" s="103">
        <f t="shared" si="7"/>
        <v>0</v>
      </c>
      <c r="AF18" s="103">
        <f t="shared" si="7"/>
        <v>0</v>
      </c>
      <c r="AG18" s="103">
        <f t="shared" si="7"/>
        <v>0</v>
      </c>
      <c r="AH18" s="103">
        <f t="shared" si="7"/>
        <v>0</v>
      </c>
      <c r="AI18" s="103">
        <f t="shared" si="7"/>
        <v>0</v>
      </c>
      <c r="AJ18" s="103">
        <f t="shared" si="7"/>
        <v>0</v>
      </c>
      <c r="AK18" s="103">
        <f t="shared" si="7"/>
        <v>0</v>
      </c>
      <c r="AL18" s="103">
        <f t="shared" si="7"/>
        <v>0</v>
      </c>
    </row>
    <row r="19" spans="1:40">
      <c r="B19" s="102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</row>
    <row r="20" spans="1:40">
      <c r="A20" s="105" t="s">
        <v>201</v>
      </c>
      <c r="B20" s="102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</row>
    <row r="21" spans="1:40">
      <c r="A21" s="99"/>
      <c r="B21" s="81" t="s">
        <v>310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>
        <v>150000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</row>
    <row r="22" spans="1:40">
      <c r="A22" s="99"/>
      <c r="B22" s="140" t="s">
        <v>202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>
        <v>50000</v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</row>
    <row r="23" spans="1:40">
      <c r="A23" s="99"/>
      <c r="B23" s="287" t="s">
        <v>287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>
        <v>100000</v>
      </c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</row>
    <row r="24" spans="1:40">
      <c r="A24" s="99"/>
      <c r="B24" s="102" t="s">
        <v>76</v>
      </c>
      <c r="C24" s="103">
        <f t="shared" ref="C24:AL24" si="8">SUM(C21:C23)</f>
        <v>0</v>
      </c>
      <c r="D24" s="103">
        <f t="shared" si="8"/>
        <v>0</v>
      </c>
      <c r="E24" s="103">
        <f t="shared" si="8"/>
        <v>0</v>
      </c>
      <c r="F24" s="103">
        <f t="shared" si="8"/>
        <v>0</v>
      </c>
      <c r="G24" s="103">
        <f t="shared" si="8"/>
        <v>0</v>
      </c>
      <c r="H24" s="103">
        <f t="shared" si="8"/>
        <v>0</v>
      </c>
      <c r="I24" s="103">
        <f t="shared" si="8"/>
        <v>0</v>
      </c>
      <c r="J24" s="103">
        <f t="shared" si="8"/>
        <v>0</v>
      </c>
      <c r="K24" s="103">
        <f t="shared" si="8"/>
        <v>0</v>
      </c>
      <c r="L24" s="103">
        <f t="shared" si="8"/>
        <v>150000</v>
      </c>
      <c r="M24" s="103">
        <f t="shared" si="8"/>
        <v>0</v>
      </c>
      <c r="N24" s="103">
        <f t="shared" si="8"/>
        <v>0</v>
      </c>
      <c r="O24" s="103">
        <f t="shared" si="8"/>
        <v>150000</v>
      </c>
      <c r="P24" s="103">
        <f t="shared" si="8"/>
        <v>0</v>
      </c>
      <c r="Q24" s="103">
        <f t="shared" si="8"/>
        <v>0</v>
      </c>
      <c r="R24" s="103">
        <f t="shared" si="8"/>
        <v>0</v>
      </c>
      <c r="S24" s="103">
        <f t="shared" si="8"/>
        <v>0</v>
      </c>
      <c r="T24" s="103">
        <f t="shared" si="8"/>
        <v>0</v>
      </c>
      <c r="U24" s="103">
        <f t="shared" si="8"/>
        <v>0</v>
      </c>
      <c r="V24" s="103">
        <f t="shared" si="8"/>
        <v>0</v>
      </c>
      <c r="W24" s="103">
        <f t="shared" si="8"/>
        <v>0</v>
      </c>
      <c r="X24" s="103">
        <f t="shared" si="8"/>
        <v>0</v>
      </c>
      <c r="Y24" s="103">
        <f t="shared" si="8"/>
        <v>0</v>
      </c>
      <c r="Z24" s="103">
        <f t="shared" si="8"/>
        <v>0</v>
      </c>
      <c r="AA24" s="103">
        <f t="shared" si="8"/>
        <v>0</v>
      </c>
      <c r="AB24" s="103">
        <f t="shared" si="8"/>
        <v>0</v>
      </c>
      <c r="AC24" s="103">
        <f t="shared" si="8"/>
        <v>0</v>
      </c>
      <c r="AD24" s="103">
        <f t="shared" si="8"/>
        <v>0</v>
      </c>
      <c r="AE24" s="103">
        <f t="shared" si="8"/>
        <v>0</v>
      </c>
      <c r="AF24" s="103">
        <f t="shared" si="8"/>
        <v>0</v>
      </c>
      <c r="AG24" s="103">
        <f t="shared" si="8"/>
        <v>0</v>
      </c>
      <c r="AH24" s="103">
        <f t="shared" si="8"/>
        <v>0</v>
      </c>
      <c r="AI24" s="103">
        <f t="shared" si="8"/>
        <v>0</v>
      </c>
      <c r="AJ24" s="103">
        <f t="shared" si="8"/>
        <v>0</v>
      </c>
      <c r="AK24" s="103">
        <f t="shared" si="8"/>
        <v>0</v>
      </c>
      <c r="AL24" s="103">
        <f t="shared" si="8"/>
        <v>0</v>
      </c>
    </row>
    <row r="25" spans="1:40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N25" s="107"/>
    </row>
    <row r="26" spans="1:40">
      <c r="A26" s="332" t="s">
        <v>109</v>
      </c>
      <c r="B26" s="332"/>
      <c r="C26" s="142"/>
      <c r="D26" s="142"/>
      <c r="E26" s="142"/>
      <c r="F26" s="142"/>
      <c r="G26" s="142"/>
      <c r="H26" s="142">
        <f t="shared" ref="H26:AL26" si="9">SUM(H14,H18,H24)</f>
        <v>0</v>
      </c>
      <c r="I26" s="142">
        <f t="shared" si="9"/>
        <v>0</v>
      </c>
      <c r="J26" s="142">
        <f t="shared" si="9"/>
        <v>0</v>
      </c>
      <c r="K26" s="142">
        <f t="shared" si="9"/>
        <v>951.71999999999991</v>
      </c>
      <c r="L26" s="142">
        <f t="shared" si="9"/>
        <v>150000</v>
      </c>
      <c r="M26" s="142">
        <f t="shared" si="9"/>
        <v>17870.6957</v>
      </c>
      <c r="N26" s="142">
        <f t="shared" si="9"/>
        <v>25287.329600000001</v>
      </c>
      <c r="O26" s="142">
        <f t="shared" si="9"/>
        <v>173425.9872</v>
      </c>
      <c r="P26" s="142">
        <f t="shared" si="9"/>
        <v>26583.034500000002</v>
      </c>
      <c r="Q26" s="142">
        <f t="shared" si="9"/>
        <v>28104.435000000001</v>
      </c>
      <c r="R26" s="142">
        <f t="shared" si="9"/>
        <v>40656.381150000001</v>
      </c>
      <c r="S26" s="142">
        <f t="shared" si="9"/>
        <v>29737.9764</v>
      </c>
      <c r="T26" s="142">
        <f t="shared" si="9"/>
        <v>33944.642699999997</v>
      </c>
      <c r="U26" s="142">
        <f t="shared" si="9"/>
        <v>49861.316999999995</v>
      </c>
      <c r="V26" s="142">
        <f t="shared" si="9"/>
        <v>42889.611599999997</v>
      </c>
      <c r="W26" s="142">
        <f t="shared" si="9"/>
        <v>49084.025099999999</v>
      </c>
      <c r="X26" s="142">
        <f t="shared" si="9"/>
        <v>59875.5069</v>
      </c>
      <c r="Y26" s="142">
        <f t="shared" si="9"/>
        <v>70093.256915000005</v>
      </c>
      <c r="Z26" s="142">
        <f t="shared" si="9"/>
        <v>74399.305392499999</v>
      </c>
      <c r="AA26" s="142">
        <f t="shared" si="9"/>
        <v>94200.365214999983</v>
      </c>
      <c r="AB26" s="142">
        <f t="shared" si="9"/>
        <v>88880.616549999992</v>
      </c>
      <c r="AC26" s="142">
        <f t="shared" si="9"/>
        <v>90435.724885000003</v>
      </c>
      <c r="AD26" s="142">
        <f t="shared" si="9"/>
        <v>122051.14726749998</v>
      </c>
      <c r="AE26" s="142">
        <f t="shared" si="9"/>
        <v>93545.941554999998</v>
      </c>
      <c r="AF26" s="142">
        <f t="shared" si="9"/>
        <v>95101.049889999995</v>
      </c>
      <c r="AG26" s="142">
        <f t="shared" si="9"/>
        <v>142883.73632500001</v>
      </c>
      <c r="AH26" s="142">
        <f t="shared" si="9"/>
        <v>127435.57799499999</v>
      </c>
      <c r="AI26" s="142">
        <f t="shared" si="9"/>
        <v>114859.11629500001</v>
      </c>
      <c r="AJ26" s="142">
        <f t="shared" si="9"/>
        <v>134939.35790499998</v>
      </c>
      <c r="AK26" s="142">
        <f t="shared" si="9"/>
        <v>134600.30431925002</v>
      </c>
      <c r="AL26" s="142">
        <f t="shared" si="9"/>
        <v>148228.40347287501</v>
      </c>
      <c r="AN26" s="107"/>
    </row>
    <row r="28" spans="1:40">
      <c r="A28" s="331" t="s">
        <v>110</v>
      </c>
      <c r="B28" s="331"/>
      <c r="C28" s="139">
        <v>43101</v>
      </c>
      <c r="D28" s="139">
        <v>43132</v>
      </c>
      <c r="E28" s="139">
        <v>43160</v>
      </c>
      <c r="F28" s="139">
        <v>43191</v>
      </c>
      <c r="G28" s="139">
        <v>43221</v>
      </c>
      <c r="H28" s="139">
        <v>43252</v>
      </c>
      <c r="I28" s="139">
        <v>43282</v>
      </c>
      <c r="J28" s="139">
        <v>43313</v>
      </c>
      <c r="K28" s="139">
        <v>43344</v>
      </c>
      <c r="L28" s="139">
        <v>43374</v>
      </c>
      <c r="M28" s="139">
        <v>43405</v>
      </c>
      <c r="N28" s="139">
        <v>43435</v>
      </c>
      <c r="O28" s="139">
        <v>43466</v>
      </c>
      <c r="P28" s="139">
        <v>43497</v>
      </c>
      <c r="Q28" s="139">
        <v>43525</v>
      </c>
      <c r="R28" s="139">
        <v>43556</v>
      </c>
      <c r="S28" s="139">
        <v>43586</v>
      </c>
      <c r="T28" s="139">
        <v>43617</v>
      </c>
      <c r="U28" s="139">
        <v>43647</v>
      </c>
      <c r="V28" s="139">
        <v>43678</v>
      </c>
      <c r="W28" s="139">
        <v>43709</v>
      </c>
      <c r="X28" s="139">
        <v>43739</v>
      </c>
      <c r="Y28" s="139">
        <v>43770</v>
      </c>
      <c r="Z28" s="139">
        <v>43800</v>
      </c>
      <c r="AA28" s="139">
        <v>43831</v>
      </c>
      <c r="AB28" s="139">
        <v>43862</v>
      </c>
      <c r="AC28" s="139">
        <v>43891</v>
      </c>
      <c r="AD28" s="139">
        <v>43922</v>
      </c>
      <c r="AE28" s="139">
        <v>43952</v>
      </c>
      <c r="AF28" s="139">
        <v>43983</v>
      </c>
      <c r="AG28" s="139">
        <v>44013</v>
      </c>
      <c r="AH28" s="139">
        <v>44044</v>
      </c>
      <c r="AI28" s="139">
        <v>44075</v>
      </c>
      <c r="AJ28" s="139">
        <v>44105</v>
      </c>
      <c r="AK28" s="139">
        <v>44136</v>
      </c>
      <c r="AL28" s="139">
        <v>44166</v>
      </c>
      <c r="AN28" s="107"/>
    </row>
    <row r="29" spans="1:40">
      <c r="A29" s="81"/>
    </row>
    <row r="30" spans="1:40">
      <c r="B30" s="74" t="s">
        <v>5</v>
      </c>
      <c r="C30" s="109"/>
      <c r="D30" s="109"/>
      <c r="E30" s="109"/>
      <c r="F30" s="109"/>
      <c r="G30" s="109"/>
      <c r="H30" s="109">
        <f>SUM(Costs!J5:J8)+SUM(Costs!J10:J12)*1.21</f>
        <v>0</v>
      </c>
      <c r="I30" s="109">
        <f>SUM(Costs!K5:K8)+SUM(Costs!K10:K12)*1.21</f>
        <v>2000</v>
      </c>
      <c r="J30" s="109">
        <f>SUM(Costs!L5:L8)+SUM(Costs!L10:L12)*1.21</f>
        <v>5500</v>
      </c>
      <c r="K30" s="109">
        <f>SUM(Costs!M5:M8)+SUM(Costs!M10:M12)*1.21</f>
        <v>10536.3</v>
      </c>
      <c r="L30" s="109">
        <f>SUM(Costs!N5:N8)+SUM(Costs!N10:N12)*1.21</f>
        <v>10536.3</v>
      </c>
      <c r="M30" s="109">
        <f>SUM(Costs!O5:O8)+SUM(Costs!O10:O12)*1.21</f>
        <v>10536.3</v>
      </c>
      <c r="N30" s="109">
        <f>SUM(Costs!P5:P8)+SUM(Costs!P10:P12)*1.21</f>
        <v>12536.3</v>
      </c>
      <c r="O30" s="109">
        <f>SUM(Costs!Q5:Q8)+SUM(Costs!Q10:Q12)*1.21</f>
        <v>12536.3</v>
      </c>
      <c r="P30" s="109">
        <f>SUM(Costs!R5:R8)+SUM(Costs!R10:R12)*1.21</f>
        <v>15572.6</v>
      </c>
      <c r="Q30" s="109">
        <f>SUM(Costs!S5:S8)+SUM(Costs!S10:S12)*1.21</f>
        <v>15572.6</v>
      </c>
      <c r="R30" s="109">
        <f>SUM(Costs!T5:T8)+SUM(Costs!T10:T12)*1.21</f>
        <v>15572.6</v>
      </c>
      <c r="S30" s="109">
        <f>SUM(Costs!U5:U8)+SUM(Costs!U10:U12)*1.21</f>
        <v>17572.599999999999</v>
      </c>
      <c r="T30" s="109">
        <f>SUM(Costs!V5:V8)+SUM(Costs!V10:V12)*1.21</f>
        <v>17572.599999999999</v>
      </c>
      <c r="U30" s="109">
        <f>SUM(Costs!W5:W8)+SUM(Costs!W10:W12)*1.21</f>
        <v>20476.599999999999</v>
      </c>
      <c r="V30" s="109">
        <f>SUM(Costs!X5:X8)+SUM(Costs!X10:X12)*1.21</f>
        <v>17572.599999999999</v>
      </c>
      <c r="W30" s="109">
        <f>SUM(Costs!Y5:Y8)+SUM(Costs!Y10:Y12)*1.21</f>
        <v>15572.6</v>
      </c>
      <c r="X30" s="109">
        <f>SUM(Costs!Z5:Z8)+SUM(Costs!Z10:Z12)*1.21</f>
        <v>15572.6</v>
      </c>
      <c r="Y30" s="109">
        <f>SUM(Costs!AA5:AA8)+SUM(Costs!AA10:AA12)*1.21</f>
        <v>15608.9</v>
      </c>
      <c r="Z30" s="109">
        <f>SUM(Costs!AB5:AB8)+SUM(Costs!AB10:AB12)*1.21</f>
        <v>18608.900000000001</v>
      </c>
      <c r="AA30" s="109">
        <f>SUM(Costs!AC5:AC8)+SUM(Costs!AC10:AC12)*1.21</f>
        <v>22512.9</v>
      </c>
      <c r="AB30" s="109">
        <f>SUM(Costs!AD5:AD8)+SUM(Costs!AD10:AD12)*1.21</f>
        <v>16608.900000000001</v>
      </c>
      <c r="AC30" s="109">
        <f>SUM(Costs!AE5:AE8)+SUM(Costs!AE10:AE12)*1.21</f>
        <v>16608.900000000001</v>
      </c>
      <c r="AD30" s="109">
        <f>SUM(Costs!AF5:AF8)+SUM(Costs!AF10:AF12)*1.21</f>
        <v>16608.900000000001</v>
      </c>
      <c r="AE30" s="109">
        <f>SUM(Costs!AG5:AG8)+SUM(Costs!AG10:AG12)*1.21</f>
        <v>19608.900000000001</v>
      </c>
      <c r="AF30" s="109">
        <f>SUM(Costs!AH5:AH8)+SUM(Costs!AH10:AH12)*1.21</f>
        <v>19608.900000000001</v>
      </c>
      <c r="AG30" s="109">
        <f>SUM(Costs!AI5:AI8)+SUM(Costs!AI10:AI12)*1.21</f>
        <v>22512.9</v>
      </c>
      <c r="AH30" s="109">
        <f>SUM(Costs!AJ5:AJ8)+SUM(Costs!AJ10:AJ12)*1.21</f>
        <v>16608.900000000001</v>
      </c>
      <c r="AI30" s="109">
        <f>SUM(Costs!AK5:AK8)+SUM(Costs!AK10:AK12)*1.21</f>
        <v>16608.900000000001</v>
      </c>
      <c r="AJ30" s="109">
        <f>SUM(Costs!AL5:AL8)+SUM(Costs!AL10:AL12)*1.21</f>
        <v>16608.900000000001</v>
      </c>
      <c r="AK30" s="109">
        <f>SUM(Costs!AM5:AM8)+SUM(Costs!AM10:AM12)*1.21</f>
        <v>16608.900000000001</v>
      </c>
      <c r="AL30" s="109">
        <f>SUM(Costs!AN5:AN8)+SUM(Costs!AN10:AN12)*1.21</f>
        <v>19608.900000000001</v>
      </c>
    </row>
    <row r="31" spans="1:40">
      <c r="B31" s="74" t="s">
        <v>127</v>
      </c>
      <c r="C31" s="109"/>
      <c r="D31" s="109"/>
      <c r="E31" s="109"/>
      <c r="F31" s="109"/>
      <c r="G31" s="109"/>
      <c r="H31" s="109">
        <f>Costs!J17*1.21</f>
        <v>847</v>
      </c>
      <c r="I31" s="109">
        <f>Costs!K17*1.21</f>
        <v>847</v>
      </c>
      <c r="J31" s="109">
        <f>Costs!L17*1.21</f>
        <v>847</v>
      </c>
      <c r="K31" s="109">
        <f>Costs!M17*1.21</f>
        <v>847</v>
      </c>
      <c r="L31" s="109">
        <f>Costs!N17*1.21</f>
        <v>847</v>
      </c>
      <c r="M31" s="109">
        <f>Costs!O17*1.21</f>
        <v>847</v>
      </c>
      <c r="N31" s="109">
        <f>Costs!P17*1.21</f>
        <v>847</v>
      </c>
      <c r="O31" s="109">
        <f>Costs!Q17*1.21</f>
        <v>847</v>
      </c>
      <c r="P31" s="109">
        <f>Costs!R17*1.21</f>
        <v>847</v>
      </c>
      <c r="Q31" s="109">
        <f>Costs!S17*1.21</f>
        <v>847</v>
      </c>
      <c r="R31" s="109">
        <f>Costs!T17*1.21</f>
        <v>1270.5</v>
      </c>
      <c r="S31" s="109">
        <f>Costs!U17*1.21</f>
        <v>1270.5</v>
      </c>
      <c r="T31" s="109">
        <f>Costs!V17*1.21</f>
        <v>1270.5</v>
      </c>
      <c r="U31" s="109">
        <f>Costs!W17*1.21</f>
        <v>1694</v>
      </c>
      <c r="V31" s="109">
        <f>Costs!X17*1.21</f>
        <v>1694</v>
      </c>
      <c r="W31" s="109">
        <f>Costs!Y17*1.21</f>
        <v>1694</v>
      </c>
      <c r="X31" s="109">
        <f>Costs!Z17*1.21</f>
        <v>1694</v>
      </c>
      <c r="Y31" s="109">
        <f>Costs!AA17*1.21</f>
        <v>1694</v>
      </c>
      <c r="Z31" s="109">
        <f>Costs!AB17*1.21</f>
        <v>1694</v>
      </c>
      <c r="AA31" s="109">
        <f>Costs!AC17*1.21</f>
        <v>1694</v>
      </c>
      <c r="AB31" s="109">
        <f>Costs!AD17*1.21</f>
        <v>1694</v>
      </c>
      <c r="AC31" s="109">
        <f>Costs!AE17*1.21</f>
        <v>1694</v>
      </c>
      <c r="AD31" s="109">
        <f>Costs!AF17*1.21</f>
        <v>1694</v>
      </c>
      <c r="AE31" s="109">
        <f>Costs!AG17*1.21</f>
        <v>1694</v>
      </c>
      <c r="AF31" s="109">
        <f>Costs!AH17*1.21</f>
        <v>1694</v>
      </c>
      <c r="AG31" s="109">
        <f>Costs!AI17*1.21</f>
        <v>1694</v>
      </c>
      <c r="AH31" s="109">
        <f>Costs!AJ17*1.21</f>
        <v>1694</v>
      </c>
      <c r="AI31" s="109">
        <f>Costs!AK17*1.21</f>
        <v>1694</v>
      </c>
      <c r="AJ31" s="109">
        <f>Costs!AL17*1.21</f>
        <v>1694</v>
      </c>
      <c r="AK31" s="109">
        <f>Costs!AM17*1.21</f>
        <v>1694</v>
      </c>
      <c r="AL31" s="109">
        <f>Costs!AN17*1.21</f>
        <v>1694</v>
      </c>
    </row>
    <row r="32" spans="1:40">
      <c r="B32" s="98" t="s">
        <v>128</v>
      </c>
      <c r="C32" s="109"/>
      <c r="D32" s="109"/>
      <c r="E32" s="109"/>
      <c r="F32" s="109"/>
      <c r="G32" s="109"/>
      <c r="H32" s="109">
        <f>SUM(Costs!J22:J31)*1.21</f>
        <v>3630</v>
      </c>
      <c r="I32" s="109">
        <f>SUM(Costs!K22:K31)*1.21</f>
        <v>3630</v>
      </c>
      <c r="J32" s="109">
        <f>SUM(Costs!L22:L31)*1.21</f>
        <v>9317</v>
      </c>
      <c r="K32" s="109">
        <f>SUM(Costs!M22:M31)*1.21</f>
        <v>7018</v>
      </c>
      <c r="L32" s="109">
        <f>SUM(Costs!N22:N31)*1.21</f>
        <v>5445</v>
      </c>
      <c r="M32" s="109">
        <f>SUM(Costs!O22:O31)*1.21</f>
        <v>5445</v>
      </c>
      <c r="N32" s="109">
        <f>SUM(Costs!P22:P31)*1.21</f>
        <v>6292</v>
      </c>
      <c r="O32" s="109">
        <f>SUM(Costs!Q22:Q31)*1.21</f>
        <v>8470</v>
      </c>
      <c r="P32" s="109">
        <f>SUM(Costs!R22:R31)*1.21</f>
        <v>6050</v>
      </c>
      <c r="Q32" s="109">
        <f>SUM(Costs!S22:S31)*1.21</f>
        <v>6050</v>
      </c>
      <c r="R32" s="109">
        <f>SUM(Costs!T22:T31)*1.21</f>
        <v>10285</v>
      </c>
      <c r="S32" s="109">
        <f>SUM(Costs!U22:U31)*1.21</f>
        <v>6655</v>
      </c>
      <c r="T32" s="109">
        <f>SUM(Costs!V22:V31)*1.21</f>
        <v>6655</v>
      </c>
      <c r="U32" s="109">
        <f>SUM(Costs!W22:W31)*1.21</f>
        <v>6050</v>
      </c>
      <c r="V32" s="109">
        <f>SUM(Costs!X22:X31)*1.21</f>
        <v>7502</v>
      </c>
      <c r="W32" s="109">
        <f>SUM(Costs!Y22:Y31)*1.21</f>
        <v>9438</v>
      </c>
      <c r="X32" s="109">
        <f>SUM(Costs!Z22:Z31)*1.21</f>
        <v>7865</v>
      </c>
      <c r="Y32" s="109">
        <f>SUM(Costs!AA22:AA31)*1.21</f>
        <v>7865</v>
      </c>
      <c r="Z32" s="109">
        <f>SUM(Costs!AB22:AB31)*1.21</f>
        <v>8712</v>
      </c>
      <c r="AA32" s="109">
        <f>SUM(Costs!AC22:AC31)*1.21</f>
        <v>11495</v>
      </c>
      <c r="AB32" s="109">
        <f>SUM(Costs!AD22:AD31)*1.21</f>
        <v>9075</v>
      </c>
      <c r="AC32" s="109">
        <f>SUM(Costs!AE22:AE31)*1.21</f>
        <v>12705</v>
      </c>
      <c r="AD32" s="109">
        <f>SUM(Costs!AF22:AF31)*1.21</f>
        <v>11495</v>
      </c>
      <c r="AE32" s="109">
        <f>SUM(Costs!AG22:AG31)*1.21</f>
        <v>9075</v>
      </c>
      <c r="AF32" s="109">
        <f>SUM(Costs!AH22:AH31)*1.21</f>
        <v>10285</v>
      </c>
      <c r="AG32" s="109">
        <f>SUM(Costs!AI22:AI31)*1.21</f>
        <v>15730</v>
      </c>
      <c r="AH32" s="109">
        <f>SUM(Costs!AJ22:AJ31)*1.21</f>
        <v>15125</v>
      </c>
      <c r="AI32" s="109">
        <f>SUM(Costs!AK22:AK31)*1.21</f>
        <v>9075</v>
      </c>
      <c r="AJ32" s="109">
        <f>SUM(Costs!AL22:AL31)*1.21</f>
        <v>9075</v>
      </c>
      <c r="AK32" s="109">
        <f>SUM(Costs!AM22:AM31)*1.21</f>
        <v>9075</v>
      </c>
      <c r="AL32" s="109">
        <f>SUM(Costs!AN22:AN31)*1.21</f>
        <v>10285</v>
      </c>
    </row>
    <row r="33" spans="1:38">
      <c r="B33" s="98" t="s">
        <v>120</v>
      </c>
      <c r="C33" s="109"/>
      <c r="D33" s="109"/>
      <c r="E33" s="109"/>
      <c r="F33" s="109"/>
      <c r="G33" s="109"/>
      <c r="H33" s="109">
        <f>SUM(Costs!J37:J39)*1.21</f>
        <v>786.5</v>
      </c>
      <c r="I33" s="109">
        <f>SUM(Costs!K37:K39)*1.21</f>
        <v>181.5</v>
      </c>
      <c r="J33" s="109">
        <f>SUM(Costs!L37:L39)*1.21</f>
        <v>181.5</v>
      </c>
      <c r="K33" s="109">
        <f>SUM(Costs!M37:M39)*1.21</f>
        <v>181.5</v>
      </c>
      <c r="L33" s="109">
        <f>SUM(Costs!N37:N39)*1.21</f>
        <v>181.5</v>
      </c>
      <c r="M33" s="109">
        <f>SUM(Costs!O37:O39)*1.21</f>
        <v>181.5</v>
      </c>
      <c r="N33" s="109">
        <f>SUM(Costs!P37:P39)*1.21</f>
        <v>786.5</v>
      </c>
      <c r="O33" s="109">
        <f>SUM(Costs!Q37:Q39)*1.21</f>
        <v>847</v>
      </c>
      <c r="P33" s="109">
        <f>SUM(Costs!R37:R39)*1.21</f>
        <v>363</v>
      </c>
      <c r="Q33" s="109">
        <f>SUM(Costs!S37:S39)*1.21</f>
        <v>363</v>
      </c>
      <c r="R33" s="109">
        <f>SUM(Costs!T37:T39)*1.21</f>
        <v>363</v>
      </c>
      <c r="S33" s="109">
        <f>SUM(Costs!U37:U39)*1.21</f>
        <v>363</v>
      </c>
      <c r="T33" s="109">
        <f>SUM(Costs!V37:V39)*1.21</f>
        <v>968</v>
      </c>
      <c r="U33" s="109">
        <f>SUM(Costs!W37:W39)*1.21</f>
        <v>363</v>
      </c>
      <c r="V33" s="109">
        <f>SUM(Costs!X37:X39)*1.21</f>
        <v>363</v>
      </c>
      <c r="W33" s="109">
        <f>SUM(Costs!Y37:Y39)*1.21</f>
        <v>363</v>
      </c>
      <c r="X33" s="109">
        <f>SUM(Costs!Z37:Z39)*1.21</f>
        <v>363</v>
      </c>
      <c r="Y33" s="109">
        <f>SUM(Costs!AA37:AA39)*1.21</f>
        <v>363</v>
      </c>
      <c r="Z33" s="109">
        <f>SUM(Costs!AB37:AB39)*1.21</f>
        <v>968</v>
      </c>
      <c r="AA33" s="109">
        <f>SUM(Costs!AC37:AC39)*1.21</f>
        <v>1270.5</v>
      </c>
      <c r="AB33" s="109">
        <f>SUM(Costs!AD37:AD39)*1.21</f>
        <v>544.5</v>
      </c>
      <c r="AC33" s="109">
        <f>SUM(Costs!AE37:AE39)*1.21</f>
        <v>544.5</v>
      </c>
      <c r="AD33" s="109">
        <f>SUM(Costs!AF37:AF39)*1.21</f>
        <v>544.5</v>
      </c>
      <c r="AE33" s="109">
        <f>SUM(Costs!AG37:AG39)*1.21</f>
        <v>544.5</v>
      </c>
      <c r="AF33" s="109">
        <f>SUM(Costs!AH37:AH39)*1.21</f>
        <v>1149.5</v>
      </c>
      <c r="AG33" s="109">
        <f>SUM(Costs!AI37:AI39)*1.21</f>
        <v>544.5</v>
      </c>
      <c r="AH33" s="109">
        <f>SUM(Costs!AJ37:AJ39)*1.21</f>
        <v>544.5</v>
      </c>
      <c r="AI33" s="109">
        <f>SUM(Costs!AK37:AK39)*1.21</f>
        <v>544.5</v>
      </c>
      <c r="AJ33" s="109">
        <f>SUM(Costs!AL37:AL39)*1.21</f>
        <v>544.5</v>
      </c>
      <c r="AK33" s="109">
        <f>SUM(Costs!AM37:AM39)*1.21</f>
        <v>544.5</v>
      </c>
      <c r="AL33" s="109">
        <f>SUM(Costs!AN37:AN39)*1.21</f>
        <v>1149.5</v>
      </c>
    </row>
    <row r="34" spans="1:38">
      <c r="A34" s="74"/>
      <c r="B34" s="98" t="s">
        <v>129</v>
      </c>
      <c r="C34" s="109"/>
      <c r="D34" s="109"/>
      <c r="E34" s="109"/>
      <c r="F34" s="109"/>
      <c r="G34" s="109"/>
      <c r="H34" s="109">
        <f>SUM(Costs!J45:J51)*1.21</f>
        <v>220.22</v>
      </c>
      <c r="I34" s="109">
        <f>SUM(Costs!K45:K51)*1.21</f>
        <v>1209.395</v>
      </c>
      <c r="J34" s="109">
        <f>SUM(Costs!L45:L51)*1.21</f>
        <v>1662.8425</v>
      </c>
      <c r="K34" s="109">
        <f>SUM(Costs!M45:M51)*1.21</f>
        <v>4736.424</v>
      </c>
      <c r="L34" s="109">
        <f>SUM(Costs!N45:N51)*1.21</f>
        <v>4377.6589999999997</v>
      </c>
      <c r="M34" s="109">
        <f>SUM(Costs!O45:O51)*1.21</f>
        <v>3442.9340000000002</v>
      </c>
      <c r="N34" s="109">
        <f>SUM(Costs!P45:P51)*1.21</f>
        <v>4805.3940000000002</v>
      </c>
      <c r="O34" s="109">
        <f>SUM(Costs!Q45:Q51)*1.21</f>
        <v>5339.9114999999993</v>
      </c>
      <c r="P34" s="109">
        <f>SUM(Costs!R45:R51)*1.21</f>
        <v>2558.6055000000001</v>
      </c>
      <c r="Q34" s="109">
        <f>SUM(Costs!S45:S51)*1.21</f>
        <v>2558.6055000000001</v>
      </c>
      <c r="R34" s="109">
        <f>SUM(Costs!T45:T51)*1.21</f>
        <v>6593.0479999999998</v>
      </c>
      <c r="S34" s="109">
        <f>SUM(Costs!U45:U51)*1.21</f>
        <v>3752.5730000000003</v>
      </c>
      <c r="T34" s="109">
        <f>SUM(Costs!V45:V51)*1.21</f>
        <v>3770.723</v>
      </c>
      <c r="U34" s="109">
        <f>SUM(Costs!W45:W51)*1.21</f>
        <v>4768.973</v>
      </c>
      <c r="V34" s="109">
        <f>SUM(Costs!X45:X51)*1.21</f>
        <v>5660.1379999999999</v>
      </c>
      <c r="W34" s="109">
        <f>SUM(Costs!Y45:Y51)*1.21</f>
        <v>3776.1680000000001</v>
      </c>
      <c r="X34" s="109">
        <f>SUM(Costs!Z45:Z51)*1.21</f>
        <v>4663.7030000000004</v>
      </c>
      <c r="Y34" s="109">
        <f>SUM(Costs!AA45:AA51)*1.21</f>
        <v>3911.5669999999996</v>
      </c>
      <c r="Z34" s="109">
        <f>SUM(Costs!AB45:AB51)*1.21</f>
        <v>7179.7769999999991</v>
      </c>
      <c r="AA34" s="109">
        <f>SUM(Costs!AC45:AC51)*1.21</f>
        <v>7084.1869999999999</v>
      </c>
      <c r="AB34" s="109">
        <f>SUM(Costs!AD45:AD51)*1.21</f>
        <v>3989.6119999999996</v>
      </c>
      <c r="AC34" s="109">
        <f>SUM(Costs!AE45:AE51)*1.21</f>
        <v>4098.5119999999997</v>
      </c>
      <c r="AD34" s="109">
        <f>SUM(Costs!AF45:AF51)*1.21</f>
        <v>6866.3869999999997</v>
      </c>
      <c r="AE34" s="109">
        <f>SUM(Costs!AG45:AG51)*1.21</f>
        <v>4098.5119999999997</v>
      </c>
      <c r="AF34" s="109">
        <f>SUM(Costs!AH45:AH51)*1.21</f>
        <v>4152.9619999999995</v>
      </c>
      <c r="AG34" s="109">
        <f>SUM(Costs!AI45:AI51)*1.21</f>
        <v>5320.0069999999996</v>
      </c>
      <c r="AH34" s="109">
        <f>SUM(Costs!AJ45:AJ51)*1.21</f>
        <v>6040.5619999999999</v>
      </c>
      <c r="AI34" s="109">
        <f>SUM(Costs!AK45:AK51)*1.21</f>
        <v>3989.6119999999996</v>
      </c>
      <c r="AJ34" s="109">
        <f>SUM(Costs!AL45:AL51)*1.21</f>
        <v>4924.3369999999995</v>
      </c>
      <c r="AK34" s="109">
        <f>SUM(Costs!AM45:AM51)*1.21</f>
        <v>3989.6119999999996</v>
      </c>
      <c r="AL34" s="109">
        <f>SUM(Costs!AN45:AN51)*1.21</f>
        <v>7268.7119999999995</v>
      </c>
    </row>
    <row r="35" spans="1:38">
      <c r="A35" s="74"/>
      <c r="B35" s="98" t="s">
        <v>48</v>
      </c>
      <c r="C35" s="109"/>
      <c r="D35" s="109"/>
      <c r="E35" s="109"/>
      <c r="F35" s="109"/>
      <c r="G35" s="109"/>
      <c r="H35" s="109">
        <f>SUM(Costs!J61)*1.21</f>
        <v>0</v>
      </c>
      <c r="I35" s="109">
        <f>SUM(Costs!K61)*1.21</f>
        <v>27830</v>
      </c>
      <c r="J35" s="109">
        <f>SUM(Costs!L61)*1.21</f>
        <v>0</v>
      </c>
      <c r="K35" s="109">
        <f>SUM(Costs!M61)*1.21</f>
        <v>12100</v>
      </c>
      <c r="L35" s="109">
        <f>SUM(Costs!N61)*1.21</f>
        <v>0</v>
      </c>
      <c r="M35" s="109">
        <f>SUM(Costs!O61)*1.21</f>
        <v>0</v>
      </c>
      <c r="N35" s="109">
        <f>SUM(Costs!P61)*1.21</f>
        <v>0</v>
      </c>
      <c r="O35" s="109">
        <f>SUM(Costs!Q61)*1.21</f>
        <v>60500</v>
      </c>
      <c r="P35" s="109">
        <f>SUM(Costs!R61)*1.21</f>
        <v>0</v>
      </c>
      <c r="Q35" s="109">
        <f>SUM(Costs!S61)*1.21</f>
        <v>0</v>
      </c>
      <c r="R35" s="109">
        <f>SUM(Costs!T61)*1.21</f>
        <v>18150</v>
      </c>
      <c r="S35" s="109">
        <f>SUM(Costs!U61)*1.21</f>
        <v>0</v>
      </c>
      <c r="T35" s="109">
        <f>SUM(Costs!V61)*1.21</f>
        <v>18150</v>
      </c>
      <c r="U35" s="109">
        <f>SUM(Costs!W61)*1.21</f>
        <v>0</v>
      </c>
      <c r="V35" s="109">
        <f>SUM(Costs!X61)*1.21</f>
        <v>0</v>
      </c>
      <c r="W35" s="109">
        <f>SUM(Costs!Y61)*1.21</f>
        <v>6050</v>
      </c>
      <c r="X35" s="109">
        <f>SUM(Costs!Z61)*1.21</f>
        <v>0</v>
      </c>
      <c r="Y35" s="109">
        <f>SUM(Costs!AA61)*1.21</f>
        <v>0</v>
      </c>
      <c r="Z35" s="109">
        <f>SUM(Costs!AB61)*1.21</f>
        <v>6050</v>
      </c>
      <c r="AA35" s="109">
        <f>SUM(Costs!AC61)*1.21</f>
        <v>8470</v>
      </c>
      <c r="AB35" s="109">
        <f>SUM(Costs!AD61)*1.21</f>
        <v>0</v>
      </c>
      <c r="AC35" s="109">
        <f>SUM(Costs!AE61)*1.21</f>
        <v>8470</v>
      </c>
      <c r="AD35" s="109">
        <f>SUM(Costs!AF61)*1.21</f>
        <v>0</v>
      </c>
      <c r="AE35" s="109">
        <f>SUM(Costs!AG61)*1.21</f>
        <v>8470</v>
      </c>
      <c r="AF35" s="109">
        <f>SUM(Costs!AH61)*1.21</f>
        <v>0</v>
      </c>
      <c r="AG35" s="109">
        <f>SUM(Costs!AI61)*1.21</f>
        <v>8470</v>
      </c>
      <c r="AH35" s="109">
        <f>SUM(Costs!AJ61)*1.21</f>
        <v>0</v>
      </c>
      <c r="AI35" s="109">
        <f>SUM(Costs!AK61)*1.21</f>
        <v>8470</v>
      </c>
      <c r="AJ35" s="109">
        <f>SUM(Costs!AL61)*1.21</f>
        <v>0</v>
      </c>
      <c r="AK35" s="109">
        <f>SUM(Costs!AM61)*1.21</f>
        <v>8470</v>
      </c>
      <c r="AL35" s="109">
        <f>SUM(Costs!AN61)*1.21</f>
        <v>0</v>
      </c>
    </row>
    <row r="36" spans="1:38">
      <c r="B36" s="111" t="s">
        <v>80</v>
      </c>
      <c r="C36" s="103">
        <f t="shared" ref="C36:H36" si="10">SUM(C30:C35)</f>
        <v>0</v>
      </c>
      <c r="D36" s="103">
        <f t="shared" si="10"/>
        <v>0</v>
      </c>
      <c r="E36" s="103">
        <f t="shared" si="10"/>
        <v>0</v>
      </c>
      <c r="F36" s="103">
        <f t="shared" si="10"/>
        <v>0</v>
      </c>
      <c r="G36" s="103">
        <f t="shared" si="10"/>
        <v>0</v>
      </c>
      <c r="H36" s="103">
        <f t="shared" si="10"/>
        <v>5483.72</v>
      </c>
      <c r="I36" s="103">
        <f>SUM(I30:I35)</f>
        <v>35697.895000000004</v>
      </c>
      <c r="J36" s="103">
        <f t="shared" ref="J36:AL36" si="11">SUM(J30:J35)</f>
        <v>17508.342499999999</v>
      </c>
      <c r="K36" s="103">
        <f>SUM(K30:K35)</f>
        <v>35419.224000000002</v>
      </c>
      <c r="L36" s="103">
        <f t="shared" si="11"/>
        <v>21387.458999999999</v>
      </c>
      <c r="M36" s="103">
        <f t="shared" si="11"/>
        <v>20452.734</v>
      </c>
      <c r="N36" s="103">
        <f t="shared" si="11"/>
        <v>25267.194</v>
      </c>
      <c r="O36" s="103">
        <f t="shared" si="11"/>
        <v>88540.211500000005</v>
      </c>
      <c r="P36" s="103">
        <f t="shared" si="11"/>
        <v>25391.2055</v>
      </c>
      <c r="Q36" s="103">
        <f t="shared" si="11"/>
        <v>25391.2055</v>
      </c>
      <c r="R36" s="103">
        <f t="shared" si="11"/>
        <v>52234.148000000001</v>
      </c>
      <c r="S36" s="103">
        <f t="shared" si="11"/>
        <v>29613.672999999999</v>
      </c>
      <c r="T36" s="103">
        <f t="shared" si="11"/>
        <v>48386.822999999997</v>
      </c>
      <c r="U36" s="103">
        <f t="shared" si="11"/>
        <v>33352.572999999997</v>
      </c>
      <c r="V36" s="103">
        <f t="shared" si="11"/>
        <v>32791.737999999998</v>
      </c>
      <c r="W36" s="103">
        <f t="shared" si="11"/>
        <v>36893.767999999996</v>
      </c>
      <c r="X36" s="103">
        <f t="shared" si="11"/>
        <v>30158.303</v>
      </c>
      <c r="Y36" s="103">
        <f t="shared" si="11"/>
        <v>29442.467000000001</v>
      </c>
      <c r="Z36" s="103">
        <f t="shared" si="11"/>
        <v>43212.677000000003</v>
      </c>
      <c r="AA36" s="103">
        <f t="shared" si="11"/>
        <v>52526.587</v>
      </c>
      <c r="AB36" s="103">
        <f t="shared" si="11"/>
        <v>31912.012000000002</v>
      </c>
      <c r="AC36" s="103">
        <f t="shared" si="11"/>
        <v>44120.912000000004</v>
      </c>
      <c r="AD36" s="103">
        <f t="shared" si="11"/>
        <v>37208.787000000004</v>
      </c>
      <c r="AE36" s="103">
        <f t="shared" si="11"/>
        <v>43490.912000000004</v>
      </c>
      <c r="AF36" s="103">
        <f t="shared" si="11"/>
        <v>36890.362000000001</v>
      </c>
      <c r="AG36" s="103">
        <f t="shared" si="11"/>
        <v>54271.406999999999</v>
      </c>
      <c r="AH36" s="103">
        <f t="shared" si="11"/>
        <v>40012.962</v>
      </c>
      <c r="AI36" s="103">
        <f t="shared" si="11"/>
        <v>40382.012000000002</v>
      </c>
      <c r="AJ36" s="103">
        <f t="shared" si="11"/>
        <v>32846.737000000001</v>
      </c>
      <c r="AK36" s="103">
        <f t="shared" si="11"/>
        <v>40382.012000000002</v>
      </c>
      <c r="AL36" s="103">
        <f t="shared" si="11"/>
        <v>40006.112000000001</v>
      </c>
    </row>
    <row r="37" spans="1:38">
      <c r="A37" s="74"/>
    </row>
    <row r="38" spans="1:38">
      <c r="A38" s="98" t="s">
        <v>276</v>
      </c>
    </row>
    <row r="39" spans="1:38">
      <c r="B39" s="73" t="s">
        <v>286</v>
      </c>
      <c r="C39" s="109"/>
      <c r="D39" s="109"/>
      <c r="E39" s="109"/>
      <c r="F39" s="109"/>
      <c r="G39" s="109"/>
      <c r="H39" s="109"/>
      <c r="I39" s="109">
        <f>Costs!K56</f>
        <v>0</v>
      </c>
      <c r="J39" s="109">
        <f>Costs!L56</f>
        <v>76.437353398062214</v>
      </c>
      <c r="K39" s="109">
        <f>Costs!M56</f>
        <v>76.437353398062214</v>
      </c>
      <c r="L39" s="109">
        <f>Costs!N56</f>
        <v>76.437353398062214</v>
      </c>
      <c r="M39" s="109">
        <f>Costs!O56</f>
        <v>323.06433062843121</v>
      </c>
      <c r="N39" s="109">
        <f>Costs!P56</f>
        <v>323.06433062843121</v>
      </c>
      <c r="O39" s="109">
        <f>Costs!Q56</f>
        <v>323.06433062843121</v>
      </c>
      <c r="P39" s="109">
        <f>Costs!R56</f>
        <v>323.06433062843121</v>
      </c>
      <c r="Q39" s="109">
        <f>Costs!S56</f>
        <v>323.06433062843121</v>
      </c>
      <c r="R39" s="109">
        <f>Costs!T56</f>
        <v>323.06433062843121</v>
      </c>
      <c r="S39" s="109">
        <f>Costs!U56</f>
        <v>323.06433062843121</v>
      </c>
      <c r="T39" s="109">
        <f>Costs!V56</f>
        <v>323.06433062843121</v>
      </c>
      <c r="U39" s="109">
        <f>Costs!W56</f>
        <v>323.06433062843121</v>
      </c>
      <c r="V39" s="109">
        <f>Costs!X56</f>
        <v>323.06433062843121</v>
      </c>
      <c r="W39" s="109">
        <f>Costs!Y56</f>
        <v>323.06433062843121</v>
      </c>
      <c r="X39" s="109">
        <f>Costs!Z56</f>
        <v>316.50476697407089</v>
      </c>
      <c r="Y39" s="109">
        <f>Costs!AA56</f>
        <v>309.92902566615044</v>
      </c>
      <c r="Z39" s="109">
        <f>Costs!AB56</f>
        <v>303.33706680621185</v>
      </c>
      <c r="AA39" s="109">
        <f>Costs!AC56</f>
        <v>296.72885039739617</v>
      </c>
      <c r="AB39" s="109">
        <f>Costs!AD56</f>
        <v>290.10433634420292</v>
      </c>
      <c r="AC39" s="109">
        <f>Costs!AE56</f>
        <v>283.46348445224453</v>
      </c>
      <c r="AD39" s="109">
        <f>Costs!AF56</f>
        <v>276.80625442800169</v>
      </c>
      <c r="AE39" s="109">
        <f>Costs!AG56</f>
        <v>270.13260587858372</v>
      </c>
      <c r="AF39" s="109">
        <f>Costs!AH56</f>
        <v>263.44249831147704</v>
      </c>
      <c r="AG39" s="109">
        <f>Costs!AI56</f>
        <v>256.73589113430421</v>
      </c>
      <c r="AH39" s="109">
        <f>Costs!AJ56</f>
        <v>250.01274365457562</v>
      </c>
      <c r="AI39" s="109">
        <f>Costs!AK56</f>
        <v>243.27301507944298</v>
      </c>
      <c r="AJ39" s="109">
        <f>Costs!AL56</f>
        <v>236.51666451545157</v>
      </c>
      <c r="AK39" s="109">
        <f>Costs!AM56</f>
        <v>229.74365096829365</v>
      </c>
      <c r="AL39" s="109">
        <f>Costs!AN56</f>
        <v>222.95393334255618</v>
      </c>
    </row>
    <row r="40" spans="1:38">
      <c r="B40" s="108" t="s">
        <v>131</v>
      </c>
      <c r="C40" s="110"/>
      <c r="D40" s="110"/>
      <c r="E40" s="110"/>
      <c r="F40" s="110"/>
      <c r="G40" s="110"/>
      <c r="H40" s="110"/>
      <c r="I40" s="110">
        <f>-SUM(Leningen!C15,Leningen!C33)</f>
        <v>0</v>
      </c>
      <c r="J40" s="110">
        <f>-SUM(Leningen!D15)</f>
        <v>0</v>
      </c>
      <c r="K40" s="110">
        <f>-SUM(Leningen!E15)</f>
        <v>0</v>
      </c>
      <c r="L40" s="110">
        <f>-SUM(Leningen!F15,Leningen!D33)</f>
        <v>0</v>
      </c>
      <c r="M40" s="110">
        <f>-SUM(Leningen!G15,Leningen!E33)</f>
        <v>0</v>
      </c>
      <c r="N40" s="110">
        <f>-SUM(Leningen!H15,Leningen!F33)</f>
        <v>0</v>
      </c>
      <c r="O40" s="110">
        <f>-SUM(Leningen!I15,Leningen!G33)</f>
        <v>0</v>
      </c>
      <c r="P40" s="110">
        <f>-SUM(Leningen!J15,Leningen!H33)</f>
        <v>0</v>
      </c>
      <c r="Q40" s="110">
        <f>-SUM(Leningen!K15,Leningen!I33)</f>
        <v>0</v>
      </c>
      <c r="R40" s="110">
        <f>-SUM(Leningen!L15,Leningen!J33)</f>
        <v>0</v>
      </c>
      <c r="S40" s="110">
        <f>-SUM(Leningen!M15,Leningen!K33)</f>
        <v>0</v>
      </c>
      <c r="T40" s="110">
        <f>-SUM(Leningen!N15,Leningen!L33)</f>
        <v>0</v>
      </c>
      <c r="U40" s="110">
        <f>-SUM(Leningen!O15,Leningen!M33)</f>
        <v>0</v>
      </c>
      <c r="V40" s="110">
        <f>-SUM(Leningen!P15,Leningen!N33)</f>
        <v>2659.7105182995206</v>
      </c>
      <c r="W40" s="110">
        <f>-SUM(Leningen!Q15,Leningen!O33)</f>
        <v>2666.2700819538809</v>
      </c>
      <c r="X40" s="110">
        <f>-SUM(Leningen!R15,Leningen!P33)</f>
        <v>2672.8458232618013</v>
      </c>
      <c r="Y40" s="110">
        <f>-SUM(Leningen!S15,Leningen!Q33)</f>
        <v>2679.4377821217399</v>
      </c>
      <c r="Z40" s="110">
        <f>-SUM(Leningen!T15,Leningen!R33)</f>
        <v>2686.0459985305556</v>
      </c>
      <c r="AA40" s="110">
        <f>-SUM(Leningen!U15,Leningen!S33)</f>
        <v>2692.6705125837489</v>
      </c>
      <c r="AB40" s="110">
        <f>-SUM(Leningen!V15,Leningen!T33)</f>
        <v>2699.3113644757073</v>
      </c>
      <c r="AC40" s="110">
        <f>-SUM(Leningen!W15,Leningen!U33)</f>
        <v>2705.9685944999501</v>
      </c>
      <c r="AD40" s="110">
        <f>-SUM(Leningen!X15,Leningen!V33)</f>
        <v>2712.6422430493681</v>
      </c>
      <c r="AE40" s="110">
        <f>-SUM(Leningen!Y15,Leningen!W33)</f>
        <v>2719.3323506164747</v>
      </c>
      <c r="AF40" s="110">
        <f>-SUM(Leningen!Z15,Leningen!X33)</f>
        <v>2726.0389577936476</v>
      </c>
      <c r="AG40" s="110">
        <f>-SUM(Leningen!AA15,Leningen!Y33)</f>
        <v>2732.7621052733762</v>
      </c>
      <c r="AH40" s="110">
        <f>-SUM(Leningen!AB15,Leningen!Z33)</f>
        <v>2739.5018338485088</v>
      </c>
      <c r="AI40" s="110">
        <f>-SUM(Leningen!AC15,Leningen!AA33)</f>
        <v>2746.2581844125002</v>
      </c>
      <c r="AJ40" s="110">
        <f>-SUM(Leningen!AD15,Leningen!AB33)</f>
        <v>2753.0311979596581</v>
      </c>
      <c r="AK40" s="110">
        <f>-SUM(Leningen!AE15,Leningen!AC33)</f>
        <v>2759.8209155853956</v>
      </c>
      <c r="AL40" s="110">
        <f>-SUM(Leningen!AF15,Leningen!AD33)</f>
        <v>2766.6273784864748</v>
      </c>
    </row>
    <row r="41" spans="1:38">
      <c r="B41" s="111" t="s">
        <v>80</v>
      </c>
      <c r="C41" s="103">
        <f>C40+C39</f>
        <v>0</v>
      </c>
      <c r="D41" s="103">
        <f t="shared" ref="D41:AL41" si="12">D40+D39</f>
        <v>0</v>
      </c>
      <c r="E41" s="103">
        <f t="shared" si="12"/>
        <v>0</v>
      </c>
      <c r="F41" s="103">
        <f t="shared" si="12"/>
        <v>0</v>
      </c>
      <c r="G41" s="103">
        <f t="shared" si="12"/>
        <v>0</v>
      </c>
      <c r="H41" s="103">
        <f t="shared" si="12"/>
        <v>0</v>
      </c>
      <c r="I41" s="103">
        <f t="shared" si="12"/>
        <v>0</v>
      </c>
      <c r="J41" s="103">
        <f t="shared" si="12"/>
        <v>76.437353398062214</v>
      </c>
      <c r="K41" s="103">
        <f t="shared" si="12"/>
        <v>76.437353398062214</v>
      </c>
      <c r="L41" s="103">
        <f t="shared" si="12"/>
        <v>76.437353398062214</v>
      </c>
      <c r="M41" s="103">
        <f t="shared" si="12"/>
        <v>323.06433062843121</v>
      </c>
      <c r="N41" s="103">
        <f t="shared" si="12"/>
        <v>323.06433062843121</v>
      </c>
      <c r="O41" s="103">
        <f t="shared" si="12"/>
        <v>323.06433062843121</v>
      </c>
      <c r="P41" s="103">
        <f t="shared" si="12"/>
        <v>323.06433062843121</v>
      </c>
      <c r="Q41" s="103">
        <f t="shared" si="12"/>
        <v>323.06433062843121</v>
      </c>
      <c r="R41" s="103">
        <f t="shared" si="12"/>
        <v>323.06433062843121</v>
      </c>
      <c r="S41" s="103">
        <f t="shared" si="12"/>
        <v>323.06433062843121</v>
      </c>
      <c r="T41" s="103">
        <f t="shared" si="12"/>
        <v>323.06433062843121</v>
      </c>
      <c r="U41" s="103">
        <f t="shared" si="12"/>
        <v>323.06433062843121</v>
      </c>
      <c r="V41" s="103">
        <f t="shared" si="12"/>
        <v>2982.774848927952</v>
      </c>
      <c r="W41" s="103">
        <f t="shared" si="12"/>
        <v>2989.3344125823123</v>
      </c>
      <c r="X41" s="103">
        <f t="shared" si="12"/>
        <v>2989.350590235872</v>
      </c>
      <c r="Y41" s="103">
        <f t="shared" si="12"/>
        <v>2989.3668077878901</v>
      </c>
      <c r="Z41" s="103">
        <f t="shared" si="12"/>
        <v>2989.3830653367677</v>
      </c>
      <c r="AA41" s="103">
        <f t="shared" si="12"/>
        <v>2989.3993629811448</v>
      </c>
      <c r="AB41" s="103">
        <f t="shared" si="12"/>
        <v>2989.4157008199099</v>
      </c>
      <c r="AC41" s="103">
        <f t="shared" si="12"/>
        <v>2989.4320789521944</v>
      </c>
      <c r="AD41" s="103">
        <f t="shared" si="12"/>
        <v>2989.4484974773695</v>
      </c>
      <c r="AE41" s="103">
        <f t="shared" si="12"/>
        <v>2989.4649564950587</v>
      </c>
      <c r="AF41" s="103">
        <f t="shared" si="12"/>
        <v>2989.4814561051244</v>
      </c>
      <c r="AG41" s="103">
        <f t="shared" si="12"/>
        <v>2989.4979964076801</v>
      </c>
      <c r="AH41" s="103">
        <f t="shared" si="12"/>
        <v>2989.5145775030842</v>
      </c>
      <c r="AI41" s="103">
        <f t="shared" si="12"/>
        <v>2989.531199491943</v>
      </c>
      <c r="AJ41" s="103">
        <f t="shared" si="12"/>
        <v>2989.5478624751095</v>
      </c>
      <c r="AK41" s="103">
        <f t="shared" si="12"/>
        <v>2989.5645665536895</v>
      </c>
      <c r="AL41" s="103">
        <f t="shared" si="12"/>
        <v>2989.5813118290307</v>
      </c>
    </row>
    <row r="42" spans="1:38">
      <c r="A42" s="106"/>
      <c r="B42" s="112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</row>
    <row r="43" spans="1:38">
      <c r="A43" s="98" t="s">
        <v>81</v>
      </c>
    </row>
    <row r="44" spans="1:38">
      <c r="B44" s="108" t="s">
        <v>81</v>
      </c>
      <c r="C44" s="109"/>
      <c r="D44" s="109"/>
      <c r="E44" s="109"/>
      <c r="F44" s="109"/>
      <c r="G44" s="109"/>
      <c r="H44" s="109">
        <f>IF(H55&lt;0,-H55,0)</f>
        <v>0</v>
      </c>
      <c r="I44" s="109">
        <f t="shared" ref="I44:AL44" si="13">IF(I55&lt;0,-I55,0)</f>
        <v>0</v>
      </c>
      <c r="J44" s="109">
        <f t="shared" si="13"/>
        <v>0</v>
      </c>
      <c r="K44" s="109">
        <f t="shared" si="13"/>
        <v>0</v>
      </c>
      <c r="L44" s="109">
        <f t="shared" si="13"/>
        <v>0</v>
      </c>
      <c r="M44" s="109">
        <f t="shared" si="13"/>
        <v>0</v>
      </c>
      <c r="N44" s="109">
        <f t="shared" si="13"/>
        <v>0</v>
      </c>
      <c r="O44" s="109">
        <f t="shared" si="13"/>
        <v>0</v>
      </c>
      <c r="P44" s="109">
        <f t="shared" si="13"/>
        <v>0</v>
      </c>
      <c r="Q44" s="109">
        <f t="shared" si="13"/>
        <v>0</v>
      </c>
      <c r="R44" s="109">
        <f t="shared" si="13"/>
        <v>0</v>
      </c>
      <c r="S44" s="109">
        <f t="shared" si="13"/>
        <v>0</v>
      </c>
      <c r="T44" s="109">
        <f t="shared" si="13"/>
        <v>0</v>
      </c>
      <c r="U44" s="109">
        <f t="shared" si="13"/>
        <v>3722.6122500000038</v>
      </c>
      <c r="V44" s="109">
        <f t="shared" si="13"/>
        <v>0</v>
      </c>
      <c r="W44" s="109">
        <f t="shared" si="13"/>
        <v>0</v>
      </c>
      <c r="X44" s="109">
        <f t="shared" si="13"/>
        <v>15497.804699999999</v>
      </c>
      <c r="Y44" s="109">
        <f t="shared" si="13"/>
        <v>0</v>
      </c>
      <c r="Z44" s="109">
        <f t="shared" si="13"/>
        <v>0</v>
      </c>
      <c r="AA44" s="109">
        <f t="shared" si="13"/>
        <v>26216.091457500002</v>
      </c>
      <c r="AB44" s="109">
        <f t="shared" si="13"/>
        <v>0</v>
      </c>
      <c r="AC44" s="109">
        <f t="shared" si="13"/>
        <v>0</v>
      </c>
      <c r="AD44" s="109">
        <f t="shared" si="13"/>
        <v>34269.430649999988</v>
      </c>
      <c r="AE44" s="109">
        <f t="shared" si="13"/>
        <v>0</v>
      </c>
      <c r="AF44" s="109">
        <f t="shared" si="13"/>
        <v>0</v>
      </c>
      <c r="AG44" s="109">
        <f t="shared" si="13"/>
        <v>43146.8564625</v>
      </c>
      <c r="AH44" s="109">
        <f t="shared" si="13"/>
        <v>0</v>
      </c>
      <c r="AI44" s="109">
        <f t="shared" si="13"/>
        <v>0</v>
      </c>
      <c r="AJ44" s="109">
        <f t="shared" si="13"/>
        <v>52588.868115000005</v>
      </c>
      <c r="AK44" s="109">
        <f t="shared" si="13"/>
        <v>0</v>
      </c>
      <c r="AL44" s="109">
        <f t="shared" si="13"/>
        <v>0</v>
      </c>
    </row>
    <row r="45" spans="1:38">
      <c r="B45" s="111" t="s">
        <v>80</v>
      </c>
      <c r="C45" s="103">
        <f>C44</f>
        <v>0</v>
      </c>
      <c r="D45" s="103">
        <f t="shared" ref="D45:AL45" si="14">D44</f>
        <v>0</v>
      </c>
      <c r="E45" s="103">
        <f t="shared" si="14"/>
        <v>0</v>
      </c>
      <c r="F45" s="103">
        <f t="shared" si="14"/>
        <v>0</v>
      </c>
      <c r="G45" s="103">
        <f t="shared" si="14"/>
        <v>0</v>
      </c>
      <c r="H45" s="103">
        <f t="shared" si="14"/>
        <v>0</v>
      </c>
      <c r="I45" s="103">
        <f t="shared" si="14"/>
        <v>0</v>
      </c>
      <c r="J45" s="103">
        <f t="shared" si="14"/>
        <v>0</v>
      </c>
      <c r="K45" s="103">
        <f t="shared" si="14"/>
        <v>0</v>
      </c>
      <c r="L45" s="103">
        <f t="shared" si="14"/>
        <v>0</v>
      </c>
      <c r="M45" s="103">
        <f t="shared" si="14"/>
        <v>0</v>
      </c>
      <c r="N45" s="103">
        <f t="shared" si="14"/>
        <v>0</v>
      </c>
      <c r="O45" s="103">
        <f t="shared" si="14"/>
        <v>0</v>
      </c>
      <c r="P45" s="103">
        <f t="shared" si="14"/>
        <v>0</v>
      </c>
      <c r="Q45" s="103">
        <f t="shared" si="14"/>
        <v>0</v>
      </c>
      <c r="R45" s="103">
        <f t="shared" si="14"/>
        <v>0</v>
      </c>
      <c r="S45" s="103">
        <f t="shared" si="14"/>
        <v>0</v>
      </c>
      <c r="T45" s="103">
        <f t="shared" si="14"/>
        <v>0</v>
      </c>
      <c r="U45" s="103">
        <f t="shared" si="14"/>
        <v>3722.6122500000038</v>
      </c>
      <c r="V45" s="103">
        <f t="shared" si="14"/>
        <v>0</v>
      </c>
      <c r="W45" s="103">
        <f t="shared" si="14"/>
        <v>0</v>
      </c>
      <c r="X45" s="103">
        <f t="shared" si="14"/>
        <v>15497.804699999999</v>
      </c>
      <c r="Y45" s="103">
        <f t="shared" si="14"/>
        <v>0</v>
      </c>
      <c r="Z45" s="103">
        <f t="shared" si="14"/>
        <v>0</v>
      </c>
      <c r="AA45" s="103">
        <f t="shared" si="14"/>
        <v>26216.091457500002</v>
      </c>
      <c r="AB45" s="103">
        <f t="shared" si="14"/>
        <v>0</v>
      </c>
      <c r="AC45" s="103">
        <f t="shared" si="14"/>
        <v>0</v>
      </c>
      <c r="AD45" s="103">
        <f t="shared" si="14"/>
        <v>34269.430649999988</v>
      </c>
      <c r="AE45" s="103">
        <f t="shared" si="14"/>
        <v>0</v>
      </c>
      <c r="AF45" s="103">
        <f t="shared" si="14"/>
        <v>0</v>
      </c>
      <c r="AG45" s="103">
        <f t="shared" si="14"/>
        <v>43146.8564625</v>
      </c>
      <c r="AH45" s="103">
        <f t="shared" si="14"/>
        <v>0</v>
      </c>
      <c r="AI45" s="103">
        <f t="shared" si="14"/>
        <v>0</v>
      </c>
      <c r="AJ45" s="103">
        <f t="shared" si="14"/>
        <v>52588.868115000005</v>
      </c>
      <c r="AK45" s="103">
        <f t="shared" si="14"/>
        <v>0</v>
      </c>
      <c r="AL45" s="103">
        <f t="shared" si="14"/>
        <v>0</v>
      </c>
    </row>
    <row r="46" spans="1:38">
      <c r="A46" s="106"/>
      <c r="B46" s="112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>
      <c r="A48" s="332" t="s">
        <v>111</v>
      </c>
      <c r="B48" s="332"/>
      <c r="C48" s="142"/>
      <c r="D48" s="142"/>
      <c r="E48" s="142"/>
      <c r="F48" s="142"/>
      <c r="G48" s="142"/>
      <c r="H48" s="142">
        <f>SUM(,H36,H41,H45)</f>
        <v>5483.72</v>
      </c>
      <c r="I48" s="142">
        <f t="shared" ref="I48:AL48" si="15">SUM(,I36,I41,I45)</f>
        <v>35697.895000000004</v>
      </c>
      <c r="J48" s="142">
        <f t="shared" si="15"/>
        <v>17584.77985339806</v>
      </c>
      <c r="K48" s="142">
        <f t="shared" si="15"/>
        <v>35495.661353398064</v>
      </c>
      <c r="L48" s="142">
        <f t="shared" si="15"/>
        <v>21463.89635339806</v>
      </c>
      <c r="M48" s="142">
        <f t="shared" si="15"/>
        <v>20775.798330628433</v>
      </c>
      <c r="N48" s="142">
        <f t="shared" si="15"/>
        <v>25590.258330628432</v>
      </c>
      <c r="O48" s="142">
        <f t="shared" si="15"/>
        <v>88863.275830628438</v>
      </c>
      <c r="P48" s="142">
        <f t="shared" si="15"/>
        <v>25714.269830628433</v>
      </c>
      <c r="Q48" s="142">
        <f t="shared" si="15"/>
        <v>25714.269830628433</v>
      </c>
      <c r="R48" s="142">
        <f t="shared" si="15"/>
        <v>52557.212330628434</v>
      </c>
      <c r="S48" s="142">
        <f t="shared" si="15"/>
        <v>29936.737330628432</v>
      </c>
      <c r="T48" s="142">
        <f t="shared" si="15"/>
        <v>48709.887330628429</v>
      </c>
      <c r="U48" s="142">
        <f t="shared" si="15"/>
        <v>37398.249580628435</v>
      </c>
      <c r="V48" s="142">
        <f t="shared" si="15"/>
        <v>35774.512848927952</v>
      </c>
      <c r="W48" s="142">
        <f t="shared" si="15"/>
        <v>39883.10241258231</v>
      </c>
      <c r="X48" s="142">
        <f t="shared" si="15"/>
        <v>48645.458290235874</v>
      </c>
      <c r="Y48" s="142">
        <f t="shared" si="15"/>
        <v>32431.833807787891</v>
      </c>
      <c r="Z48" s="142">
        <f t="shared" si="15"/>
        <v>46202.060065336773</v>
      </c>
      <c r="AA48" s="142">
        <f t="shared" si="15"/>
        <v>81732.07782048115</v>
      </c>
      <c r="AB48" s="142">
        <f t="shared" si="15"/>
        <v>34901.427700819913</v>
      </c>
      <c r="AC48" s="142">
        <f t="shared" si="15"/>
        <v>47110.344078952199</v>
      </c>
      <c r="AD48" s="142">
        <f t="shared" si="15"/>
        <v>74467.666147477372</v>
      </c>
      <c r="AE48" s="142">
        <f t="shared" si="15"/>
        <v>46480.376956495063</v>
      </c>
      <c r="AF48" s="142">
        <f t="shared" si="15"/>
        <v>39879.843456105125</v>
      </c>
      <c r="AG48" s="142">
        <f t="shared" si="15"/>
        <v>100407.76145890768</v>
      </c>
      <c r="AH48" s="142">
        <f t="shared" si="15"/>
        <v>43002.476577503083</v>
      </c>
      <c r="AI48" s="142">
        <f t="shared" si="15"/>
        <v>43371.543199491949</v>
      </c>
      <c r="AJ48" s="142">
        <f t="shared" si="15"/>
        <v>88425.152977475111</v>
      </c>
      <c r="AK48" s="142">
        <f t="shared" si="15"/>
        <v>43371.576566553689</v>
      </c>
      <c r="AL48" s="142">
        <f t="shared" si="15"/>
        <v>42995.693311829033</v>
      </c>
    </row>
    <row r="51" spans="1:38">
      <c r="A51" s="98" t="s">
        <v>274</v>
      </c>
    </row>
    <row r="52" spans="1:38">
      <c r="B52" s="140" t="s">
        <v>79</v>
      </c>
      <c r="C52" s="241"/>
      <c r="D52" s="241"/>
      <c r="E52" s="241"/>
      <c r="F52" s="241"/>
      <c r="G52" s="241"/>
      <c r="H52" s="241"/>
      <c r="I52" s="241">
        <f>SUM(F31:H35)/1.21*0.21+SUM(Costs!H10:J12)*0.21</f>
        <v>951.71999999999991</v>
      </c>
      <c r="J52" s="241"/>
      <c r="K52" s="241"/>
      <c r="L52" s="241">
        <f>SUM(I31:K35)/1.21*0.21+SUM(Costs!K10:M12)*0.21</f>
        <v>12257.3115</v>
      </c>
      <c r="M52" s="241"/>
      <c r="N52" s="241"/>
      <c r="O52" s="241">
        <f>SUM(L31:N35)/1.21*0.21+SUM(Costs!N10:P12)*0.21</f>
        <v>5832.6869999999999</v>
      </c>
      <c r="P52" s="241"/>
      <c r="Q52" s="241"/>
      <c r="R52" s="241">
        <f>SUM(O31:Q35)/1.21*0.21+SUM(Costs!Q10:S12)*0.21</f>
        <v>16630.372499999998</v>
      </c>
      <c r="S52" s="241"/>
      <c r="T52" s="241"/>
      <c r="U52" s="241">
        <f>SUM(R31:T35)/1.21*0.21+SUM(Costs!T10:V12)*0.21</f>
        <v>13838.243999999997</v>
      </c>
      <c r="V52" s="241"/>
      <c r="W52" s="241"/>
      <c r="X52" s="241">
        <f>SUM(U31:W35)/1.21*0.21+SUM(Costs!W10:Y12)*0.21</f>
        <v>9118.1789999999983</v>
      </c>
      <c r="Y52" s="241"/>
      <c r="Z52" s="241"/>
      <c r="AA52" s="241">
        <f>SUM(X31:Z35)/1.21*0.21+SUM(Costs!Z10:AB12)*0.21</f>
        <v>9252.7469999999994</v>
      </c>
      <c r="AB52" s="241"/>
      <c r="AC52" s="241"/>
      <c r="AD52" s="241">
        <f>SUM(AA31:AC35)/1.21*0.21+SUM(Costs!AC10:AE12)*0.21</f>
        <v>13200.411000000002</v>
      </c>
      <c r="AE52" s="241"/>
      <c r="AF52" s="241"/>
      <c r="AG52" s="241">
        <f>SUM(AD31:AF35)/1.21*0.21+SUM(Costs!AF10:AH12)*0.21</f>
        <v>10775.961000000001</v>
      </c>
      <c r="AH52" s="241"/>
      <c r="AI52" s="241"/>
      <c r="AJ52" s="241">
        <f>SUM(AG31:AI35)/1.21*0.21+SUM(Costs!AI10:AK12)*0.21</f>
        <v>14260.280999999999</v>
      </c>
      <c r="AK52" s="241"/>
      <c r="AL52" s="241"/>
    </row>
    <row r="53" spans="1:38">
      <c r="B53" s="108" t="s">
        <v>81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>
        <f>SUM(I13:K13)/1.21*0.21</f>
        <v>0</v>
      </c>
      <c r="M53" s="242"/>
      <c r="N53" s="242"/>
      <c r="O53" s="242">
        <f>SUM(L13:N13)/1.21*0.21</f>
        <v>5362.9338000000007</v>
      </c>
      <c r="P53" s="242"/>
      <c r="Q53" s="242"/>
      <c r="R53" s="242">
        <f>SUM(O13:Q13)/1.21*0.21</f>
        <v>13475.353500000001</v>
      </c>
      <c r="S53" s="242"/>
      <c r="T53" s="242"/>
      <c r="U53" s="242">
        <f>SUM(R13:T13)/1.21*0.21</f>
        <v>17560.856250000001</v>
      </c>
      <c r="V53" s="242"/>
      <c r="W53" s="242"/>
      <c r="X53" s="242">
        <f>SUM(U13:W13)/1.21*0.21</f>
        <v>24615.983699999997</v>
      </c>
      <c r="Y53" s="242"/>
      <c r="Z53" s="242"/>
      <c r="AA53" s="242">
        <f>SUM(X13:Z13)/1.21*0.21</f>
        <v>35468.838457500002</v>
      </c>
      <c r="AB53" s="242"/>
      <c r="AC53" s="242"/>
      <c r="AD53" s="242">
        <f>SUM(AA13:AC13)/1.21*0.21</f>
        <v>47469.841649999988</v>
      </c>
      <c r="AE53" s="242"/>
      <c r="AF53" s="242"/>
      <c r="AG53" s="242">
        <f>SUM(AD13:AF13)/1.21*0.21</f>
        <v>53922.817462500003</v>
      </c>
      <c r="AH53" s="242"/>
      <c r="AI53" s="242"/>
      <c r="AJ53" s="242">
        <f>SUM(AG13:AI13)/1.21*0.21</f>
        <v>66849.149115000007</v>
      </c>
      <c r="AK53" s="242"/>
      <c r="AL53" s="242"/>
    </row>
    <row r="54" spans="1:38">
      <c r="B54" s="108" t="s">
        <v>275</v>
      </c>
      <c r="C54" s="243"/>
      <c r="D54" s="243"/>
      <c r="E54" s="243"/>
      <c r="F54" s="243"/>
      <c r="G54" s="243"/>
      <c r="H54" s="243"/>
      <c r="I54" s="243">
        <f>IF(I52&gt;I53,0,I52-I53)</f>
        <v>0</v>
      </c>
      <c r="J54" s="243"/>
      <c r="K54" s="243">
        <f>IF(I54=0,I52-I53,0)</f>
        <v>951.71999999999991</v>
      </c>
      <c r="L54" s="243">
        <f>IF(L52&gt;L53,0,L52-L53)</f>
        <v>0</v>
      </c>
      <c r="M54" s="243"/>
      <c r="N54" s="243">
        <f>IF(L54=0,L52-L53,0)</f>
        <v>12257.3115</v>
      </c>
      <c r="O54" s="243">
        <f>IF(O52&gt;O53,0,O52-O53)</f>
        <v>0</v>
      </c>
      <c r="P54" s="243"/>
      <c r="Q54" s="243">
        <f>IF(O54=0,O52-O53,0)</f>
        <v>469.7531999999992</v>
      </c>
      <c r="R54" s="243">
        <f>IF(R52&gt;R53,0,R52-R53)</f>
        <v>0</v>
      </c>
      <c r="S54" s="243"/>
      <c r="T54" s="243">
        <f>IF(R54=0,R52-R53,0)</f>
        <v>3155.0189999999966</v>
      </c>
      <c r="U54" s="243">
        <f>IF(U52&gt;U53,0,U52-U53)</f>
        <v>-3722.6122500000038</v>
      </c>
      <c r="V54" s="243"/>
      <c r="W54" s="243">
        <f>IF(U54=0,U52-U53,0)</f>
        <v>0</v>
      </c>
      <c r="X54" s="243">
        <f>IF(X52&gt;X53,0,X52-X53)</f>
        <v>-15497.804699999999</v>
      </c>
      <c r="Y54" s="243"/>
      <c r="Z54" s="243">
        <f>IF(X54=0,X52-X53,0)</f>
        <v>0</v>
      </c>
      <c r="AA54" s="243">
        <f>IF(AA52&gt;AA53,0,AA52-AA53)</f>
        <v>-26216.091457500002</v>
      </c>
      <c r="AB54" s="243"/>
      <c r="AC54" s="243">
        <f>IF(AA54=0,AA52-AA53,0)</f>
        <v>0</v>
      </c>
      <c r="AD54" s="243">
        <f>IF(AD52&gt;AD53,0,AD52-AD53)</f>
        <v>-34269.430649999988</v>
      </c>
      <c r="AE54" s="243"/>
      <c r="AF54" s="243">
        <f>IF(AD54=0,AD52-AD53,0)</f>
        <v>0</v>
      </c>
      <c r="AG54" s="243">
        <f>IF(AG52&gt;AG53,0,AG52-AG53)</f>
        <v>-43146.8564625</v>
      </c>
      <c r="AH54" s="243"/>
      <c r="AI54" s="243">
        <f>IF(AG54=0,AG52-AG53,0)</f>
        <v>0</v>
      </c>
      <c r="AJ54" s="243">
        <f>IF(AJ52&gt;AJ53,0,AJ52-AJ53)</f>
        <v>-52588.868115000005</v>
      </c>
      <c r="AK54" s="243"/>
      <c r="AL54" s="243">
        <f>IF(AJ54=0,AJ52-AJ53,0)</f>
        <v>0</v>
      </c>
    </row>
    <row r="55" spans="1:38">
      <c r="B55" s="111" t="s">
        <v>80</v>
      </c>
      <c r="C55" s="103">
        <f>C54</f>
        <v>0</v>
      </c>
      <c r="D55" s="103">
        <f t="shared" ref="D55:AL55" si="16">D54</f>
        <v>0</v>
      </c>
      <c r="E55" s="103">
        <f t="shared" si="16"/>
        <v>0</v>
      </c>
      <c r="F55" s="103"/>
      <c r="G55" s="103">
        <f t="shared" si="16"/>
        <v>0</v>
      </c>
      <c r="H55" s="103">
        <f t="shared" si="16"/>
        <v>0</v>
      </c>
      <c r="I55" s="103">
        <f t="shared" si="16"/>
        <v>0</v>
      </c>
      <c r="J55" s="103">
        <f t="shared" si="16"/>
        <v>0</v>
      </c>
      <c r="K55" s="103">
        <f t="shared" si="16"/>
        <v>951.71999999999991</v>
      </c>
      <c r="L55" s="103">
        <f t="shared" si="16"/>
        <v>0</v>
      </c>
      <c r="M55" s="103">
        <f t="shared" si="16"/>
        <v>0</v>
      </c>
      <c r="N55" s="103">
        <f t="shared" si="16"/>
        <v>12257.3115</v>
      </c>
      <c r="O55" s="103">
        <f t="shared" si="16"/>
        <v>0</v>
      </c>
      <c r="P55" s="103">
        <f t="shared" si="16"/>
        <v>0</v>
      </c>
      <c r="Q55" s="103">
        <f t="shared" si="16"/>
        <v>469.7531999999992</v>
      </c>
      <c r="R55" s="103">
        <f t="shared" si="16"/>
        <v>0</v>
      </c>
      <c r="S55" s="103">
        <f t="shared" si="16"/>
        <v>0</v>
      </c>
      <c r="T55" s="103">
        <f t="shared" si="16"/>
        <v>3155.0189999999966</v>
      </c>
      <c r="U55" s="103">
        <f t="shared" si="16"/>
        <v>-3722.6122500000038</v>
      </c>
      <c r="V55" s="103">
        <f t="shared" si="16"/>
        <v>0</v>
      </c>
      <c r="W55" s="103">
        <f t="shared" si="16"/>
        <v>0</v>
      </c>
      <c r="X55" s="103">
        <f t="shared" si="16"/>
        <v>-15497.804699999999</v>
      </c>
      <c r="Y55" s="103">
        <f t="shared" si="16"/>
        <v>0</v>
      </c>
      <c r="Z55" s="103">
        <f t="shared" si="16"/>
        <v>0</v>
      </c>
      <c r="AA55" s="103">
        <f t="shared" si="16"/>
        <v>-26216.091457500002</v>
      </c>
      <c r="AB55" s="103">
        <f t="shared" si="16"/>
        <v>0</v>
      </c>
      <c r="AC55" s="103">
        <f t="shared" si="16"/>
        <v>0</v>
      </c>
      <c r="AD55" s="103">
        <f t="shared" si="16"/>
        <v>-34269.430649999988</v>
      </c>
      <c r="AE55" s="103">
        <f t="shared" si="16"/>
        <v>0</v>
      </c>
      <c r="AF55" s="103">
        <f t="shared" si="16"/>
        <v>0</v>
      </c>
      <c r="AG55" s="103">
        <f t="shared" si="16"/>
        <v>-43146.8564625</v>
      </c>
      <c r="AH55" s="103">
        <f t="shared" si="16"/>
        <v>0</v>
      </c>
      <c r="AI55" s="103">
        <f t="shared" si="16"/>
        <v>0</v>
      </c>
      <c r="AJ55" s="103">
        <f t="shared" si="16"/>
        <v>-52588.868115000005</v>
      </c>
      <c r="AK55" s="103">
        <f t="shared" si="16"/>
        <v>0</v>
      </c>
      <c r="AL55" s="103">
        <f t="shared" si="16"/>
        <v>0</v>
      </c>
    </row>
  </sheetData>
  <mergeCells count="4">
    <mergeCell ref="A10:B10"/>
    <mergeCell ref="A26:B26"/>
    <mergeCell ref="A28:B28"/>
    <mergeCell ref="A48:B48"/>
  </mergeCells>
  <pageMargins left="0.75" right="0.75" top="1" bottom="1" header="0.3" footer="0.3"/>
  <pageSetup paperSize="9" scale="23" orientation="landscape"/>
  <ignoredErrors>
    <ignoredError sqref="F40:H40 H32:AL35 H13:AL13 H17:AL17 H30:AL31 H44:AL44 I39:AL39 I40 J40:AL40 I52:XFD5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2:Q49"/>
  <sheetViews>
    <sheetView showGridLines="0" workbookViewId="0">
      <selection activeCell="R61" sqref="R61"/>
    </sheetView>
  </sheetViews>
  <sheetFormatPr baseColWidth="10" defaultRowHeight="14" outlineLevelRow="1" outlineLevelCol="1" x14ac:dyDescent="0"/>
  <cols>
    <col min="1" max="1" width="5.6640625" style="73" customWidth="1"/>
    <col min="2" max="2" width="37.83203125" style="73" bestFit="1" customWidth="1"/>
    <col min="3" max="3" width="11" style="73" hidden="1" customWidth="1" outlineLevel="1"/>
    <col min="4" max="6" width="10.83203125" style="73" hidden="1" customWidth="1" outlineLevel="1"/>
    <col min="7" max="7" width="15.6640625" style="73" customWidth="1" collapsed="1"/>
    <col min="8" max="8" width="11" style="73" hidden="1" customWidth="1" outlineLevel="1"/>
    <col min="9" max="11" width="10.83203125" style="73" hidden="1" customWidth="1" outlineLevel="1"/>
    <col min="12" max="12" width="15.6640625" style="73" customWidth="1" collapsed="1"/>
    <col min="13" max="13" width="11" style="73" hidden="1" customWidth="1" outlineLevel="1"/>
    <col min="14" max="16" width="10.83203125" style="73" hidden="1" customWidth="1" outlineLevel="1"/>
    <col min="17" max="17" width="15.6640625" style="73" customWidth="1" collapsed="1"/>
    <col min="18" max="16384" width="10.83203125" style="73"/>
  </cols>
  <sheetData>
    <row r="2" spans="1:17" s="76" customFormat="1">
      <c r="A2" s="129" t="s">
        <v>94</v>
      </c>
      <c r="B2" s="129"/>
      <c r="C2" s="129" t="s">
        <v>95</v>
      </c>
      <c r="D2" s="129" t="s">
        <v>96</v>
      </c>
      <c r="E2" s="129" t="s">
        <v>97</v>
      </c>
      <c r="F2" s="129" t="s">
        <v>98</v>
      </c>
      <c r="G2" s="129" t="s">
        <v>99</v>
      </c>
      <c r="H2" s="129" t="s">
        <v>159</v>
      </c>
      <c r="I2" s="129" t="s">
        <v>160</v>
      </c>
      <c r="J2" s="129" t="s">
        <v>161</v>
      </c>
      <c r="K2" s="129" t="s">
        <v>162</v>
      </c>
      <c r="L2" s="129" t="s">
        <v>163</v>
      </c>
      <c r="M2" s="129" t="s">
        <v>164</v>
      </c>
      <c r="N2" s="129" t="s">
        <v>165</v>
      </c>
      <c r="O2" s="129" t="s">
        <v>166</v>
      </c>
      <c r="P2" s="129" t="s">
        <v>167</v>
      </c>
      <c r="Q2" s="129" t="s">
        <v>168</v>
      </c>
    </row>
    <row r="3" spans="1:17" s="76" customFormat="1">
      <c r="A3" s="130"/>
      <c r="B3" s="130"/>
      <c r="C3" s="129" t="s">
        <v>100</v>
      </c>
      <c r="D3" s="129" t="s">
        <v>100</v>
      </c>
      <c r="E3" s="129" t="s">
        <v>100</v>
      </c>
      <c r="F3" s="129" t="s">
        <v>100</v>
      </c>
      <c r="G3" s="129" t="s">
        <v>75</v>
      </c>
      <c r="H3" s="129" t="s">
        <v>100</v>
      </c>
      <c r="I3" s="129" t="s">
        <v>100</v>
      </c>
      <c r="J3" s="129" t="s">
        <v>100</v>
      </c>
      <c r="K3" s="129" t="s">
        <v>100</v>
      </c>
      <c r="L3" s="129" t="s">
        <v>75</v>
      </c>
      <c r="M3" s="129" t="s">
        <v>100</v>
      </c>
      <c r="N3" s="129" t="s">
        <v>100</v>
      </c>
      <c r="O3" s="129" t="s">
        <v>100</v>
      </c>
      <c r="P3" s="129" t="s">
        <v>100</v>
      </c>
      <c r="Q3" s="129" t="s">
        <v>75</v>
      </c>
    </row>
    <row r="4" spans="1:17" s="76" customFormat="1">
      <c r="A4" s="130"/>
      <c r="B4" s="129" t="s">
        <v>101</v>
      </c>
      <c r="C4" s="131">
        <f>SUM(C5:C6)</f>
        <v>0</v>
      </c>
      <c r="D4" s="131">
        <f>SUM(D5:D6)</f>
        <v>0</v>
      </c>
      <c r="E4" s="131">
        <f>SUM(E5:E6)</f>
        <v>0</v>
      </c>
      <c r="F4" s="131">
        <f>SUM(F5:F6)</f>
        <v>5322.7800000000007</v>
      </c>
      <c r="G4" s="131">
        <f t="shared" ref="G4:G6" si="0">SUM(C4,D4,E4,F4)</f>
        <v>5322.7800000000007</v>
      </c>
      <c r="H4" s="131">
        <f>SUM(H5:H6)</f>
        <v>23997.100000000002</v>
      </c>
      <c r="I4" s="131">
        <f>SUM(I5:I6)</f>
        <v>50278.75</v>
      </c>
      <c r="J4" s="131">
        <f>SUM(J5:J6)</f>
        <v>88975.845000000001</v>
      </c>
      <c r="K4" s="131">
        <f>SUM(K5:K6)</f>
        <v>116543.30575</v>
      </c>
      <c r="L4" s="131">
        <f t="shared" ref="L4:L6" si="1">SUM(H4,I4,J4,K4)</f>
        <v>279795.00075000001</v>
      </c>
      <c r="M4" s="131">
        <f>SUM(M5:M6)</f>
        <v>150236.65875</v>
      </c>
      <c r="N4" s="131">
        <f>SUM(N5:N6)</f>
        <v>201837.32437500003</v>
      </c>
      <c r="O4" s="131">
        <f>SUM(O5:O6)</f>
        <v>281463.34087499999</v>
      </c>
      <c r="P4" s="131">
        <f>SUM(P5:P6)</f>
        <v>290969.01671250002</v>
      </c>
      <c r="Q4" s="131">
        <f t="shared" ref="Q4:Q6" si="2">SUM(M4,N4,O4,P4)</f>
        <v>924506.34071250004</v>
      </c>
    </row>
    <row r="5" spans="1:17">
      <c r="A5" s="132"/>
      <c r="B5" s="132" t="s">
        <v>305</v>
      </c>
      <c r="C5" s="133">
        <f>SUM(Sales!D51:F51)</f>
        <v>0</v>
      </c>
      <c r="D5" s="133">
        <f>SUM(Sales!G51:I51)</f>
        <v>0</v>
      </c>
      <c r="E5" s="133">
        <f>SUM(Sales!J51:L51)</f>
        <v>0</v>
      </c>
      <c r="F5" s="133">
        <f>SUM(Sales!M51:O51)</f>
        <v>3105</v>
      </c>
      <c r="G5" s="133">
        <f t="shared" si="0"/>
        <v>3105</v>
      </c>
      <c r="H5" s="133">
        <f>SUM(Sales!D54:F54)</f>
        <v>14856.250000000002</v>
      </c>
      <c r="I5" s="133">
        <f>SUM(Sales!G54:I54)</f>
        <v>30923.125</v>
      </c>
      <c r="J5" s="133">
        <f>SUM(Sales!J54:L54)</f>
        <v>47986.875</v>
      </c>
      <c r="K5" s="133">
        <f>SUM(Sales!M54:O54)</f>
        <v>72168.475000000006</v>
      </c>
      <c r="L5" s="133">
        <f t="shared" si="1"/>
        <v>165934.72500000001</v>
      </c>
      <c r="M5" s="133">
        <f>SUM(Sales!D69:F69)</f>
        <v>100913.53125</v>
      </c>
      <c r="N5" s="133">
        <f>SUM(Sales!G69:I69)</f>
        <v>131441.54062500002</v>
      </c>
      <c r="O5" s="133">
        <f>SUM(Sales!J69:L69)</f>
        <v>162014.40937500002</v>
      </c>
      <c r="P5" s="133">
        <f>SUM(Sales!M69:O69)</f>
        <v>192739.05750000002</v>
      </c>
      <c r="Q5" s="133">
        <f t="shared" si="2"/>
        <v>587108.53875000007</v>
      </c>
    </row>
    <row r="6" spans="1:17">
      <c r="A6" s="132"/>
      <c r="B6" s="132" t="s">
        <v>272</v>
      </c>
      <c r="C6" s="133">
        <f>SUM(Sales!D12:F12)</f>
        <v>0</v>
      </c>
      <c r="D6" s="133">
        <f>SUM(Sales!G12:I12)</f>
        <v>0</v>
      </c>
      <c r="E6" s="133">
        <f>SUM(Sales!J12:L12)</f>
        <v>0</v>
      </c>
      <c r="F6" s="133">
        <f>SUM(Sales!M12:O12)</f>
        <v>2217.7800000000002</v>
      </c>
      <c r="G6" s="133">
        <f t="shared" si="0"/>
        <v>2217.7800000000002</v>
      </c>
      <c r="H6" s="133">
        <f>SUM(Sales!D25:F25)</f>
        <v>9140.85</v>
      </c>
      <c r="I6" s="133">
        <f>SUM(Sales!G25:I25)</f>
        <v>19355.625</v>
      </c>
      <c r="J6" s="133">
        <f>SUM(Sales!J25:L25)</f>
        <v>40988.97</v>
      </c>
      <c r="K6" s="133">
        <f>SUM(Sales!M25:O25)</f>
        <v>44374.830749999994</v>
      </c>
      <c r="L6" s="133">
        <f t="shared" si="1"/>
        <v>113860.27575</v>
      </c>
      <c r="M6" s="133">
        <f>SUM(Sales!D41:F41)</f>
        <v>49323.127500000002</v>
      </c>
      <c r="N6" s="133">
        <f>SUM(Sales!G41:I41)</f>
        <v>70395.783750000002</v>
      </c>
      <c r="O6" s="133">
        <f>SUM(Sales!J41:L41)</f>
        <v>119448.93150000001</v>
      </c>
      <c r="P6" s="133">
        <f>SUM(Sales!M41:O41)</f>
        <v>98229.959212500005</v>
      </c>
      <c r="Q6" s="133">
        <f t="shared" si="2"/>
        <v>337397.80196250003</v>
      </c>
    </row>
    <row r="7" spans="1:17" s="76" customFormat="1">
      <c r="A7" s="130"/>
      <c r="B7" s="129" t="s">
        <v>105</v>
      </c>
      <c r="C7" s="131">
        <f t="shared" ref="C7:Q7" si="3">SUM(C8,C17,C19,C31,C35,C43,C45)</f>
        <v>11484.5</v>
      </c>
      <c r="D7" s="131">
        <f t="shared" si="3"/>
        <v>16737.5</v>
      </c>
      <c r="E7" s="131">
        <f t="shared" si="3"/>
        <v>45496.024706796125</v>
      </c>
      <c r="F7" s="131">
        <f t="shared" si="3"/>
        <v>64472.266014654924</v>
      </c>
      <c r="G7" s="131">
        <f t="shared" si="3"/>
        <v>138190.29072145105</v>
      </c>
      <c r="H7" s="131">
        <f t="shared" si="3"/>
        <v>76961.442991885298</v>
      </c>
      <c r="I7" s="131">
        <f t="shared" si="3"/>
        <v>91579.878706171003</v>
      </c>
      <c r="J7" s="131">
        <f t="shared" si="3"/>
        <v>94656.950134742438</v>
      </c>
      <c r="K7" s="131">
        <f t="shared" si="3"/>
        <v>105008.32800230358</v>
      </c>
      <c r="L7" s="131">
        <f t="shared" si="3"/>
        <v>368206.59983510233</v>
      </c>
      <c r="M7" s="131">
        <f t="shared" si="3"/>
        <v>123992.253814051</v>
      </c>
      <c r="N7" s="131">
        <f t="shared" si="3"/>
        <v>122702.33850147521</v>
      </c>
      <c r="O7" s="131">
        <f t="shared" si="3"/>
        <v>129846.47879272548</v>
      </c>
      <c r="P7" s="131">
        <f t="shared" si="3"/>
        <v>120123.67139168346</v>
      </c>
      <c r="Q7" s="131">
        <f t="shared" si="3"/>
        <v>496664.74249993515</v>
      </c>
    </row>
    <row r="8" spans="1:17">
      <c r="A8" s="132"/>
      <c r="B8" s="132" t="s">
        <v>114</v>
      </c>
      <c r="C8" s="133">
        <f>SUM(C9:C16)</f>
        <v>0</v>
      </c>
      <c r="D8" s="133">
        <f t="shared" ref="D8:E8" si="4">SUM(D9:D16)</f>
        <v>0</v>
      </c>
      <c r="E8" s="133">
        <f t="shared" si="4"/>
        <v>18030</v>
      </c>
      <c r="F8" s="133">
        <f>SUM(F9:F16)</f>
        <v>33590</v>
      </c>
      <c r="G8" s="133">
        <f>SUM(C8,D8,E8,F8)</f>
        <v>51620</v>
      </c>
      <c r="H8" s="133">
        <f t="shared" ref="H8:K8" si="5">SUM(H9:H16)</f>
        <v>43650</v>
      </c>
      <c r="I8" s="133">
        <f t="shared" si="5"/>
        <v>50680</v>
      </c>
      <c r="J8" s="133">
        <f t="shared" si="5"/>
        <v>53080</v>
      </c>
      <c r="K8" s="133">
        <f t="shared" si="5"/>
        <v>59740</v>
      </c>
      <c r="L8" s="133">
        <f t="shared" ref="L8:L32" si="6">SUM(H8,I8,J8,K8)</f>
        <v>207150</v>
      </c>
      <c r="M8" s="133">
        <f t="shared" ref="M8:P8" si="7">SUM(M9:M16)</f>
        <v>70170</v>
      </c>
      <c r="N8" s="133">
        <f t="shared" si="7"/>
        <v>70770</v>
      </c>
      <c r="O8" s="133">
        <f t="shared" si="7"/>
        <v>70170</v>
      </c>
      <c r="P8" s="133">
        <f t="shared" si="7"/>
        <v>67770</v>
      </c>
      <c r="Q8" s="133">
        <f t="shared" ref="Q8:Q32" si="8">SUM(M8,N8,O8,P8)</f>
        <v>278880</v>
      </c>
    </row>
    <row r="9" spans="1:17" hidden="1" outlineLevel="1">
      <c r="B9" s="73" t="s">
        <v>203</v>
      </c>
      <c r="C9" s="127">
        <f>SUM(Costs!E5:G5)</f>
        <v>0</v>
      </c>
      <c r="D9" s="127">
        <f>SUM(Costs!H5:J5)</f>
        <v>0</v>
      </c>
      <c r="E9" s="127">
        <f>SUM(Costs!K5:M5)</f>
        <v>10500</v>
      </c>
      <c r="F9" s="127">
        <f>SUM(Costs!N5:P5)</f>
        <v>21000</v>
      </c>
      <c r="G9" s="77">
        <f t="shared" ref="G9:G32" si="9">SUM(C9,D9,E9,F9)</f>
        <v>31500</v>
      </c>
      <c r="H9" s="127">
        <f>SUM(Costs!Q5:S5)</f>
        <v>21000</v>
      </c>
      <c r="I9" s="127">
        <f>SUM(Costs!T5:V5)</f>
        <v>21000</v>
      </c>
      <c r="J9" s="127">
        <f>SUM(Costs!W5:Y5)</f>
        <v>21000</v>
      </c>
      <c r="K9" s="127">
        <f>SUM(Costs!Z5:AB5)</f>
        <v>22000</v>
      </c>
      <c r="L9" s="77">
        <f t="shared" si="6"/>
        <v>85000</v>
      </c>
      <c r="M9" s="127">
        <f>SUM(Costs!AC5:AE5)</f>
        <v>24000</v>
      </c>
      <c r="N9" s="127">
        <f>SUM(Costs!AF5:AH5)</f>
        <v>24000</v>
      </c>
      <c r="O9" s="127">
        <f>SUM(Costs!AI5:AK5)</f>
        <v>24000</v>
      </c>
      <c r="P9" s="127">
        <f>SUM(Costs!AL5:AN5)</f>
        <v>24000</v>
      </c>
      <c r="Q9" s="77">
        <f t="shared" si="8"/>
        <v>96000</v>
      </c>
    </row>
    <row r="10" spans="1:17" hidden="1" outlineLevel="1">
      <c r="B10" s="73" t="s">
        <v>204</v>
      </c>
      <c r="C10" s="127">
        <f>SUM(Costs!E6:G6)</f>
        <v>0</v>
      </c>
      <c r="D10" s="127">
        <f>SUM(Costs!H6:J6)</f>
        <v>0</v>
      </c>
      <c r="E10" s="127">
        <f>SUM(Costs!K6:M6)</f>
        <v>4000</v>
      </c>
      <c r="F10" s="127">
        <f>SUM(Costs!N6:P6)</f>
        <v>2000</v>
      </c>
      <c r="G10" s="77">
        <f t="shared" ref="G10:G11" si="10">SUM(C10,D10,E10,F10)</f>
        <v>6000</v>
      </c>
      <c r="H10" s="127">
        <f>SUM(Costs!Q6:S6)</f>
        <v>2000</v>
      </c>
      <c r="I10" s="127">
        <f>SUM(Costs!T6:V6)</f>
        <v>4000</v>
      </c>
      <c r="J10" s="127">
        <f>SUM(Costs!W6:Y6)</f>
        <v>4000</v>
      </c>
      <c r="K10" s="127">
        <f>SUM(Costs!Z6:AB6)</f>
        <v>2000</v>
      </c>
      <c r="L10" s="77">
        <f t="shared" ref="L10:L11" si="11">SUM(H10,I10,J10,K10)</f>
        <v>12000</v>
      </c>
      <c r="M10" s="127">
        <f>SUM(Costs!AC6:AE6)</f>
        <v>3000</v>
      </c>
      <c r="N10" s="127">
        <f>SUM(Costs!AF6:AH6)</f>
        <v>6000</v>
      </c>
      <c r="O10" s="127">
        <f>SUM(Costs!AI6:AK6)</f>
        <v>3000</v>
      </c>
      <c r="P10" s="127">
        <f>SUM(Costs!AL6:AN6)</f>
        <v>3000</v>
      </c>
      <c r="Q10" s="77">
        <f t="shared" ref="Q10:Q11" si="12">SUM(M10,N10,O10,P10)</f>
        <v>15000</v>
      </c>
    </row>
    <row r="11" spans="1:17" hidden="1" outlineLevel="1">
      <c r="B11" s="73" t="s">
        <v>277</v>
      </c>
      <c r="C11" s="127">
        <f>SUM(Costs!E7:G7)</f>
        <v>0</v>
      </c>
      <c r="D11" s="127">
        <f>SUM(Costs!H7:J7)</f>
        <v>0</v>
      </c>
      <c r="E11" s="127">
        <f>SUM(Costs!K7:M7)</f>
        <v>3500</v>
      </c>
      <c r="F11" s="127">
        <f>SUM(Costs!N7:P7)</f>
        <v>10500</v>
      </c>
      <c r="G11" s="77">
        <f t="shared" si="10"/>
        <v>14000</v>
      </c>
      <c r="H11" s="127">
        <f>SUM(Costs!Q7:S7)</f>
        <v>10500</v>
      </c>
      <c r="I11" s="127">
        <f>SUM(Costs!T7:V7)</f>
        <v>10500</v>
      </c>
      <c r="J11" s="127">
        <f>SUM(Costs!W7:Y7)</f>
        <v>10500</v>
      </c>
      <c r="K11" s="127">
        <f>SUM(Costs!Z7:AB7)</f>
        <v>10500</v>
      </c>
      <c r="L11" s="77">
        <f t="shared" si="11"/>
        <v>42000</v>
      </c>
      <c r="M11" s="127">
        <f>SUM(Costs!AC7:AE7)</f>
        <v>10500</v>
      </c>
      <c r="N11" s="127">
        <f>SUM(Costs!AF7:AH7)</f>
        <v>10500</v>
      </c>
      <c r="O11" s="127">
        <f>SUM(Costs!AI7:AK7)</f>
        <v>10500</v>
      </c>
      <c r="P11" s="127">
        <f>SUM(Costs!AL7:AN7)</f>
        <v>10500</v>
      </c>
      <c r="Q11" s="77">
        <f t="shared" si="12"/>
        <v>42000</v>
      </c>
    </row>
    <row r="12" spans="1:17" hidden="1" outlineLevel="1">
      <c r="B12" s="73" t="s">
        <v>280</v>
      </c>
      <c r="C12" s="127">
        <f>SUM(Costs!E8:G8)</f>
        <v>0</v>
      </c>
      <c r="D12" s="127">
        <f>SUM(Costs!H8:J8)</f>
        <v>0</v>
      </c>
      <c r="E12" s="127">
        <f>SUM(Costs!K8:M8)</f>
        <v>0</v>
      </c>
      <c r="F12" s="127">
        <f>SUM(Costs!N8:P8)</f>
        <v>0</v>
      </c>
      <c r="G12" s="77">
        <f t="shared" ref="G12:G16" si="13">SUM(C12,D12,E12,F12)</f>
        <v>0</v>
      </c>
      <c r="H12" s="127">
        <f>SUM(Costs!Q8:S8)</f>
        <v>10000</v>
      </c>
      <c r="I12" s="127">
        <f>SUM(Costs!T8:V8)</f>
        <v>15000</v>
      </c>
      <c r="J12" s="127">
        <f>SUM(Costs!W8:Y8)</f>
        <v>15000</v>
      </c>
      <c r="K12" s="127">
        <f>SUM(Costs!Z8:AB8)</f>
        <v>15000</v>
      </c>
      <c r="L12" s="77">
        <f t="shared" ref="L12:L16" si="14">SUM(H12,I12,J12,K12)</f>
        <v>55000</v>
      </c>
      <c r="M12" s="127">
        <f>SUM(Costs!AC8:AE8)</f>
        <v>15000</v>
      </c>
      <c r="N12" s="127">
        <f>SUM(Costs!AF8:AH8)</f>
        <v>15000</v>
      </c>
      <c r="O12" s="127">
        <f>SUM(Costs!AI8:AK8)</f>
        <v>15000</v>
      </c>
      <c r="P12" s="127">
        <f>SUM(Costs!AL8:AN8)</f>
        <v>15000</v>
      </c>
      <c r="Q12" s="77">
        <f t="shared" ref="Q12:Q16" si="15">SUM(M12,N12,O12,P12)</f>
        <v>60000</v>
      </c>
    </row>
    <row r="13" spans="1:17" hidden="1" outlineLevel="1">
      <c r="B13" s="73" t="s">
        <v>278</v>
      </c>
      <c r="C13" s="127">
        <f>SUM(Costs!E9:G9)</f>
        <v>0</v>
      </c>
      <c r="D13" s="127">
        <f>SUM(Costs!H9:J9)</f>
        <v>0</v>
      </c>
      <c r="E13" s="127">
        <f>SUM(Costs!K9:M9)</f>
        <v>0</v>
      </c>
      <c r="F13" s="127">
        <f>SUM(Costs!N9:P9)</f>
        <v>0</v>
      </c>
      <c r="G13" s="77">
        <f t="shared" si="13"/>
        <v>0</v>
      </c>
      <c r="H13" s="127">
        <f>SUM(Costs!Q9:S9)</f>
        <v>0</v>
      </c>
      <c r="I13" s="127">
        <f>SUM(Costs!T9:V9)</f>
        <v>0</v>
      </c>
      <c r="J13" s="127">
        <f>SUM(Costs!W9:Y9)</f>
        <v>0</v>
      </c>
      <c r="K13" s="127">
        <f>SUM(Costs!Z9:AB9)</f>
        <v>10000</v>
      </c>
      <c r="L13" s="77">
        <f t="shared" si="14"/>
        <v>10000</v>
      </c>
      <c r="M13" s="127">
        <f>SUM(Costs!AC9:AE9)</f>
        <v>15000</v>
      </c>
      <c r="N13" s="127">
        <f>SUM(Costs!AF9:AH9)</f>
        <v>15000</v>
      </c>
      <c r="O13" s="127">
        <f>SUM(Costs!AI9:AK9)</f>
        <v>15000</v>
      </c>
      <c r="P13" s="127">
        <f>SUM(Costs!AL9:AN9)</f>
        <v>15000</v>
      </c>
      <c r="Q13" s="77">
        <f t="shared" si="15"/>
        <v>60000</v>
      </c>
    </row>
    <row r="14" spans="1:17" hidden="1" outlineLevel="1">
      <c r="B14" s="73" t="s">
        <v>234</v>
      </c>
      <c r="C14" s="127">
        <f>SUM(Costs!E10:G10)</f>
        <v>0</v>
      </c>
      <c r="D14" s="127">
        <f>SUM(Costs!H10:J10)</f>
        <v>0</v>
      </c>
      <c r="E14" s="127">
        <f>SUM(Costs!K10:M10)</f>
        <v>30</v>
      </c>
      <c r="F14" s="127">
        <f>SUM(Costs!N10:P10)</f>
        <v>90</v>
      </c>
      <c r="G14" s="77">
        <f t="shared" si="13"/>
        <v>120</v>
      </c>
      <c r="H14" s="127">
        <f>SUM(Costs!Q10:S10)</f>
        <v>150</v>
      </c>
      <c r="I14" s="127">
        <f>SUM(Costs!T10:V10)</f>
        <v>180</v>
      </c>
      <c r="J14" s="127">
        <f>SUM(Costs!W10:Y10)</f>
        <v>180</v>
      </c>
      <c r="K14" s="127">
        <f>SUM(Costs!Z10:AB10)</f>
        <v>240</v>
      </c>
      <c r="L14" s="77">
        <f t="shared" si="14"/>
        <v>750</v>
      </c>
      <c r="M14" s="127">
        <f>SUM(Costs!AC10:AE10)</f>
        <v>270</v>
      </c>
      <c r="N14" s="127">
        <f>SUM(Costs!AF10:AH10)</f>
        <v>270</v>
      </c>
      <c r="O14" s="127">
        <f>SUM(Costs!AI10:AK10)</f>
        <v>270</v>
      </c>
      <c r="P14" s="127">
        <f>SUM(Costs!AL10:AN10)</f>
        <v>270</v>
      </c>
      <c r="Q14" s="77">
        <f t="shared" si="15"/>
        <v>1080</v>
      </c>
    </row>
    <row r="15" spans="1:17" hidden="1" outlineLevel="1">
      <c r="B15" s="73" t="s">
        <v>236</v>
      </c>
      <c r="C15" s="127">
        <f>SUM(Costs!E11:G11)</f>
        <v>0</v>
      </c>
      <c r="D15" s="127">
        <f>SUM(Costs!H11:J11)</f>
        <v>0</v>
      </c>
      <c r="E15" s="127">
        <f>SUM(Costs!K11:M11)</f>
        <v>0</v>
      </c>
      <c r="F15" s="127">
        <f>SUM(Costs!N11:P11)</f>
        <v>0</v>
      </c>
      <c r="G15" s="77">
        <f t="shared" si="13"/>
        <v>0</v>
      </c>
      <c r="H15" s="127">
        <f>SUM(Costs!Q11:S11)</f>
        <v>0</v>
      </c>
      <c r="I15" s="127">
        <f>SUM(Costs!T11:V11)</f>
        <v>0</v>
      </c>
      <c r="J15" s="127">
        <f>SUM(Costs!W11:Y11)</f>
        <v>2000</v>
      </c>
      <c r="K15" s="127">
        <f>SUM(Costs!Z11:AB11)</f>
        <v>0</v>
      </c>
      <c r="L15" s="77">
        <f t="shared" si="14"/>
        <v>2000</v>
      </c>
      <c r="M15" s="127">
        <f>SUM(Costs!AC11:AE11)</f>
        <v>2000</v>
      </c>
      <c r="N15" s="127">
        <f>SUM(Costs!AF11:AH11)</f>
        <v>0</v>
      </c>
      <c r="O15" s="127">
        <f>SUM(Costs!AI11:AK11)</f>
        <v>2000</v>
      </c>
      <c r="P15" s="127">
        <f>SUM(Costs!AL11:AN11)</f>
        <v>0</v>
      </c>
      <c r="Q15" s="77">
        <f t="shared" si="15"/>
        <v>4000</v>
      </c>
    </row>
    <row r="16" spans="1:17" hidden="1" outlineLevel="1">
      <c r="B16" s="73" t="s">
        <v>237</v>
      </c>
      <c r="C16" s="127">
        <f>SUM(Costs!E12:G12)</f>
        <v>0</v>
      </c>
      <c r="D16" s="127">
        <f>SUM(Costs!H12:J12)</f>
        <v>0</v>
      </c>
      <c r="E16" s="127">
        <f>SUM(Costs!K12:M12)</f>
        <v>0</v>
      </c>
      <c r="F16" s="127">
        <f>SUM(Costs!N12:P12)</f>
        <v>0</v>
      </c>
      <c r="G16" s="77">
        <f t="shared" si="13"/>
        <v>0</v>
      </c>
      <c r="H16" s="127">
        <f>SUM(Costs!Q12:S12)</f>
        <v>0</v>
      </c>
      <c r="I16" s="127">
        <f>SUM(Costs!T12:V12)</f>
        <v>0</v>
      </c>
      <c r="J16" s="127">
        <f>SUM(Costs!W12:Y12)</f>
        <v>400</v>
      </c>
      <c r="K16" s="127">
        <f>SUM(Costs!Z12:AB12)</f>
        <v>0</v>
      </c>
      <c r="L16" s="77">
        <f t="shared" si="14"/>
        <v>400</v>
      </c>
      <c r="M16" s="127">
        <f>SUM(Costs!AC12:AE12)</f>
        <v>400</v>
      </c>
      <c r="N16" s="127">
        <f>SUM(Costs!AF12:AH12)</f>
        <v>0</v>
      </c>
      <c r="O16" s="127">
        <f>SUM(Costs!AI12:AK12)</f>
        <v>400</v>
      </c>
      <c r="P16" s="127">
        <f>SUM(Costs!AL12:AN12)</f>
        <v>0</v>
      </c>
      <c r="Q16" s="77">
        <f t="shared" si="15"/>
        <v>800</v>
      </c>
    </row>
    <row r="17" spans="1:17" collapsed="1">
      <c r="A17" s="132"/>
      <c r="B17" s="132" t="s">
        <v>119</v>
      </c>
      <c r="C17" s="133">
        <f>SUM(C18:C18)</f>
        <v>2100</v>
      </c>
      <c r="D17" s="133">
        <f>SUM(D18:D18)</f>
        <v>2100</v>
      </c>
      <c r="E17" s="133">
        <f>SUM(E18:E18)</f>
        <v>2100</v>
      </c>
      <c r="F17" s="133">
        <f>SUM(F18:F18)</f>
        <v>2100</v>
      </c>
      <c r="G17" s="133">
        <f t="shared" si="9"/>
        <v>8400</v>
      </c>
      <c r="H17" s="133">
        <f>SUM(H18:H18)</f>
        <v>2100</v>
      </c>
      <c r="I17" s="133">
        <f>SUM(I18:I18)</f>
        <v>3150</v>
      </c>
      <c r="J17" s="133">
        <f>SUM(J18:J18)</f>
        <v>4200</v>
      </c>
      <c r="K17" s="133">
        <f>SUM(K18:K18)</f>
        <v>4200</v>
      </c>
      <c r="L17" s="133">
        <f t="shared" si="6"/>
        <v>13650</v>
      </c>
      <c r="M17" s="133">
        <f>SUM(M18:M18)</f>
        <v>4200</v>
      </c>
      <c r="N17" s="133">
        <f>SUM(N18:N18)</f>
        <v>4200</v>
      </c>
      <c r="O17" s="133">
        <f>SUM(O18:O18)</f>
        <v>4200</v>
      </c>
      <c r="P17" s="133">
        <f>SUM(P18:P18)</f>
        <v>4200</v>
      </c>
      <c r="Q17" s="133">
        <f t="shared" si="8"/>
        <v>16800</v>
      </c>
    </row>
    <row r="18" spans="1:17" hidden="1" outlineLevel="1">
      <c r="B18" s="73" t="s">
        <v>208</v>
      </c>
      <c r="C18" s="127">
        <f>SUM(Costs!E17:G17)</f>
        <v>2100</v>
      </c>
      <c r="D18" s="127">
        <f>SUM(Costs!H17:J17)</f>
        <v>2100</v>
      </c>
      <c r="E18" s="127">
        <f>SUM(Costs!K17:M17)</f>
        <v>2100</v>
      </c>
      <c r="F18" s="127">
        <f>SUM(Costs!N17:P17)</f>
        <v>2100</v>
      </c>
      <c r="G18" s="77">
        <f t="shared" si="9"/>
        <v>8400</v>
      </c>
      <c r="H18" s="127">
        <f>SUM(Costs!Q17:S17)</f>
        <v>2100</v>
      </c>
      <c r="I18" s="127">
        <f>SUM(Costs!T17:V17)</f>
        <v>3150</v>
      </c>
      <c r="J18" s="127">
        <f>SUM(Costs!W17:Y17)</f>
        <v>4200</v>
      </c>
      <c r="K18" s="127">
        <f>SUM(Costs!Z17:AB17)</f>
        <v>4200</v>
      </c>
      <c r="L18" s="77">
        <f t="shared" si="6"/>
        <v>13650</v>
      </c>
      <c r="M18" s="127">
        <f>SUM(Costs!AC17:AE17)</f>
        <v>4200</v>
      </c>
      <c r="N18" s="127">
        <f>SUM(Costs!AF17:AH17)</f>
        <v>4200</v>
      </c>
      <c r="O18" s="127">
        <f>SUM(Costs!AI17:AK17)</f>
        <v>4200</v>
      </c>
      <c r="P18" s="127">
        <f>SUM(Costs!AL17:AN17)</f>
        <v>4200</v>
      </c>
      <c r="Q18" s="77">
        <f t="shared" si="8"/>
        <v>16800</v>
      </c>
    </row>
    <row r="19" spans="1:17" collapsed="1">
      <c r="A19" s="132"/>
      <c r="B19" s="132" t="s">
        <v>117</v>
      </c>
      <c r="C19" s="133">
        <f>SUM(C20:C30)</f>
        <v>7500</v>
      </c>
      <c r="D19" s="133">
        <f t="shared" ref="D19:Q19" si="16">SUM(D20:D30)</f>
        <v>9500</v>
      </c>
      <c r="E19" s="133">
        <f t="shared" si="16"/>
        <v>16500</v>
      </c>
      <c r="F19" s="133">
        <f t="shared" si="16"/>
        <v>14200</v>
      </c>
      <c r="G19" s="133">
        <f t="shared" si="16"/>
        <v>47700</v>
      </c>
      <c r="H19" s="133">
        <f t="shared" si="16"/>
        <v>17400</v>
      </c>
      <c r="I19" s="133">
        <f t="shared" si="16"/>
        <v>20100</v>
      </c>
      <c r="J19" s="133">
        <f t="shared" si="16"/>
        <v>19600</v>
      </c>
      <c r="K19" s="133">
        <f t="shared" si="16"/>
        <v>20800</v>
      </c>
      <c r="L19" s="133">
        <f t="shared" si="16"/>
        <v>77900</v>
      </c>
      <c r="M19" s="133">
        <f t="shared" si="16"/>
        <v>28100</v>
      </c>
      <c r="N19" s="133">
        <f t="shared" si="16"/>
        <v>26100</v>
      </c>
      <c r="O19" s="133">
        <f t="shared" si="16"/>
        <v>33600</v>
      </c>
      <c r="P19" s="133">
        <f t="shared" si="16"/>
        <v>24100</v>
      </c>
      <c r="Q19" s="133">
        <f t="shared" si="16"/>
        <v>111900</v>
      </c>
    </row>
    <row r="20" spans="1:17" hidden="1" outlineLevel="1">
      <c r="B20" s="73" t="s">
        <v>216</v>
      </c>
      <c r="C20" s="127">
        <f>SUM(Costs!E22:G22)</f>
        <v>3750</v>
      </c>
      <c r="D20" s="127">
        <f>SUM(Costs!H22:J22)</f>
        <v>4500</v>
      </c>
      <c r="E20" s="127">
        <f>SUM(Costs!K22:M22)</f>
        <v>4500</v>
      </c>
      <c r="F20" s="127">
        <f>SUM(Costs!N22:P22)</f>
        <v>4500</v>
      </c>
      <c r="G20" s="77">
        <f t="shared" ref="G20" si="17">SUM(C20,D20,E20,F20)</f>
        <v>17250</v>
      </c>
      <c r="H20" s="127">
        <f>SUM(Costs!Q22:S22)</f>
        <v>4500</v>
      </c>
      <c r="I20" s="127">
        <f>SUM(Costs!T22:V22)</f>
        <v>4500</v>
      </c>
      <c r="J20" s="127">
        <f>SUM(Costs!W22:Y22)</f>
        <v>4500</v>
      </c>
      <c r="K20" s="127">
        <f>SUM(Costs!Z22:AB22)</f>
        <v>4500</v>
      </c>
      <c r="L20" s="77">
        <f t="shared" ref="L20" si="18">SUM(H20,I20,J20,K20)</f>
        <v>18000</v>
      </c>
      <c r="M20" s="127">
        <f>SUM(Costs!AC22:AE22)</f>
        <v>7500</v>
      </c>
      <c r="N20" s="127">
        <f>SUM(Costs!AF22:AH22)</f>
        <v>7500</v>
      </c>
      <c r="O20" s="127">
        <f>SUM(Costs!AI22:AK22)</f>
        <v>7500</v>
      </c>
      <c r="P20" s="127">
        <f>SUM(Costs!AL22:AN22)</f>
        <v>7500</v>
      </c>
      <c r="Q20" s="77">
        <f t="shared" ref="Q20" si="19">SUM(M20,N20,O20,P20)</f>
        <v>30000</v>
      </c>
    </row>
    <row r="21" spans="1:17" hidden="1" outlineLevel="1">
      <c r="B21" s="73" t="s">
        <v>217</v>
      </c>
      <c r="C21" s="127">
        <f>SUM(Costs!E23:G23)</f>
        <v>3750</v>
      </c>
      <c r="D21" s="127">
        <f>SUM(Costs!H23:J23)</f>
        <v>4500</v>
      </c>
      <c r="E21" s="127">
        <f>SUM(Costs!K23:M23)</f>
        <v>4500</v>
      </c>
      <c r="F21" s="127">
        <f>SUM(Costs!N23:P23)</f>
        <v>4500</v>
      </c>
      <c r="G21" s="77">
        <f t="shared" ref="G21:G30" si="20">SUM(C21,D21,E21,F21)</f>
        <v>17250</v>
      </c>
      <c r="H21" s="127">
        <f>SUM(Costs!Q23:S23)</f>
        <v>4500</v>
      </c>
      <c r="I21" s="127">
        <f>SUM(Costs!T23:V23)</f>
        <v>4500</v>
      </c>
      <c r="J21" s="127">
        <f>SUM(Costs!W23:Y23)</f>
        <v>4500</v>
      </c>
      <c r="K21" s="127">
        <f>SUM(Costs!Z23:AB23)</f>
        <v>4500</v>
      </c>
      <c r="L21" s="77">
        <f t="shared" ref="L21:L30" si="21">SUM(H21,I21,J21,K21)</f>
        <v>18000</v>
      </c>
      <c r="M21" s="127">
        <f>SUM(Costs!AC23:AE23)</f>
        <v>4500</v>
      </c>
      <c r="N21" s="127">
        <f>SUM(Costs!AF23:AH23)</f>
        <v>4500</v>
      </c>
      <c r="O21" s="127">
        <f>SUM(Costs!AI23:AK23)</f>
        <v>4500</v>
      </c>
      <c r="P21" s="127">
        <f>SUM(Costs!AL23:AN23)</f>
        <v>4500</v>
      </c>
      <c r="Q21" s="77">
        <f t="shared" ref="Q21:Q30" si="22">SUM(M21,N21,O21,P21)</f>
        <v>18000</v>
      </c>
    </row>
    <row r="22" spans="1:17" hidden="1" outlineLevel="1">
      <c r="B22" s="73" t="s">
        <v>218</v>
      </c>
      <c r="C22" s="127">
        <f>SUM(Costs!E24:G24)</f>
        <v>0</v>
      </c>
      <c r="D22" s="127">
        <f>SUM(Costs!H24:J24)</f>
        <v>0</v>
      </c>
      <c r="E22" s="127">
        <f>SUM(Costs!K24:M24)</f>
        <v>700</v>
      </c>
      <c r="F22" s="127">
        <f>SUM(Costs!N24:P24)</f>
        <v>700</v>
      </c>
      <c r="G22" s="77">
        <f t="shared" si="20"/>
        <v>1400</v>
      </c>
      <c r="H22" s="127">
        <f>SUM(Costs!Q24:S24)</f>
        <v>1000</v>
      </c>
      <c r="I22" s="127">
        <f>SUM(Costs!T24:V24)</f>
        <v>0</v>
      </c>
      <c r="J22" s="127">
        <f>SUM(Costs!W24:Y24)</f>
        <v>700</v>
      </c>
      <c r="K22" s="127">
        <f>SUM(Costs!Z24:AB24)</f>
        <v>700</v>
      </c>
      <c r="L22" s="77">
        <f t="shared" si="21"/>
        <v>2400</v>
      </c>
      <c r="M22" s="127">
        <f>SUM(Costs!AC24:AE24)</f>
        <v>1000</v>
      </c>
      <c r="N22" s="127">
        <f>SUM(Costs!AF24:AH24)</f>
        <v>1000</v>
      </c>
      <c r="O22" s="127">
        <f>SUM(Costs!AI24:AK24)</f>
        <v>1000</v>
      </c>
      <c r="P22" s="127">
        <f>SUM(Costs!AL24:AN24)</f>
        <v>1000</v>
      </c>
      <c r="Q22" s="77">
        <f t="shared" si="22"/>
        <v>4000</v>
      </c>
    </row>
    <row r="23" spans="1:17" hidden="1" outlineLevel="1">
      <c r="B23" s="73" t="s">
        <v>219</v>
      </c>
      <c r="C23" s="127">
        <f>SUM(Costs!E25:G25)</f>
        <v>0</v>
      </c>
      <c r="D23" s="127">
        <f>SUM(Costs!H25:J25)</f>
        <v>0</v>
      </c>
      <c r="E23" s="127">
        <f>SUM(Costs!K25:M25)</f>
        <v>1300</v>
      </c>
      <c r="F23" s="127">
        <f>SUM(Costs!N25:P25)</f>
        <v>0</v>
      </c>
      <c r="G23" s="77">
        <f t="shared" si="20"/>
        <v>1300</v>
      </c>
      <c r="H23" s="127">
        <f>SUM(Costs!Q25:S25)</f>
        <v>1000</v>
      </c>
      <c r="I23" s="127">
        <f>SUM(Costs!T25:V25)</f>
        <v>0</v>
      </c>
      <c r="J23" s="127">
        <f>SUM(Costs!W25:Y25)</f>
        <v>1300</v>
      </c>
      <c r="K23" s="127">
        <f>SUM(Costs!Z25:AB25)</f>
        <v>0</v>
      </c>
      <c r="L23" s="77">
        <f t="shared" si="21"/>
        <v>2300</v>
      </c>
      <c r="M23" s="127">
        <f>SUM(Costs!AC25:AE25)</f>
        <v>1000</v>
      </c>
      <c r="N23" s="127">
        <f>SUM(Costs!AF25:AH25)</f>
        <v>1000</v>
      </c>
      <c r="O23" s="127">
        <f>SUM(Costs!AI25:AK25)</f>
        <v>1000</v>
      </c>
      <c r="P23" s="127">
        <f>SUM(Costs!AL25:AN25)</f>
        <v>0</v>
      </c>
      <c r="Q23" s="77">
        <f t="shared" si="22"/>
        <v>3000</v>
      </c>
    </row>
    <row r="24" spans="1:17" hidden="1" outlineLevel="1">
      <c r="B24" s="73" t="s">
        <v>220</v>
      </c>
      <c r="C24" s="127">
        <f>SUM(Costs!E26:G26)</f>
        <v>0</v>
      </c>
      <c r="D24" s="127">
        <f>SUM(Costs!H26:J26)</f>
        <v>0</v>
      </c>
      <c r="E24" s="127">
        <f>SUM(Costs!K26:M26)</f>
        <v>500</v>
      </c>
      <c r="F24" s="127">
        <f>SUM(Costs!N26:P26)</f>
        <v>0</v>
      </c>
      <c r="G24" s="77">
        <f t="shared" si="20"/>
        <v>500</v>
      </c>
      <c r="H24" s="127">
        <f>SUM(Costs!Q26:S26)</f>
        <v>0</v>
      </c>
      <c r="I24" s="127">
        <f>SUM(Costs!T26:V26)</f>
        <v>0</v>
      </c>
      <c r="J24" s="127">
        <f>SUM(Costs!W26:Y26)</f>
        <v>500</v>
      </c>
      <c r="K24" s="127">
        <f>SUM(Costs!Z26:AB26)</f>
        <v>0</v>
      </c>
      <c r="L24" s="77">
        <f t="shared" si="21"/>
        <v>500</v>
      </c>
      <c r="M24" s="127">
        <f>SUM(Costs!AC26:AE26)</f>
        <v>0</v>
      </c>
      <c r="N24" s="127">
        <f>SUM(Costs!AF26:AH26)</f>
        <v>0</v>
      </c>
      <c r="O24" s="127">
        <f>SUM(Costs!AI26:AK26)</f>
        <v>500</v>
      </c>
      <c r="P24" s="127">
        <f>SUM(Costs!AL26:AN26)</f>
        <v>0</v>
      </c>
      <c r="Q24" s="77">
        <f t="shared" si="22"/>
        <v>500</v>
      </c>
    </row>
    <row r="25" spans="1:17" hidden="1" outlineLevel="1">
      <c r="B25" s="73" t="s">
        <v>221</v>
      </c>
      <c r="C25" s="127">
        <f>SUM(Costs!E27:G27)</f>
        <v>0</v>
      </c>
      <c r="D25" s="127">
        <f>SUM(Costs!H27:J27)</f>
        <v>0</v>
      </c>
      <c r="E25" s="127">
        <f>SUM(Costs!K27:M27)</f>
        <v>2000</v>
      </c>
      <c r="F25" s="127">
        <f>SUM(Costs!N27:P27)</f>
        <v>3000</v>
      </c>
      <c r="G25" s="77">
        <f t="shared" si="20"/>
        <v>5000</v>
      </c>
      <c r="H25" s="127">
        <f>SUM(Costs!Q27:S27)</f>
        <v>6000</v>
      </c>
      <c r="I25" s="127">
        <f>SUM(Costs!T27:V27)</f>
        <v>6000</v>
      </c>
      <c r="J25" s="127">
        <f>SUM(Costs!W27:Y27)</f>
        <v>7000</v>
      </c>
      <c r="K25" s="127">
        <f>SUM(Costs!Z27:AB27)</f>
        <v>9000</v>
      </c>
      <c r="L25" s="77">
        <f t="shared" si="21"/>
        <v>28000</v>
      </c>
      <c r="M25" s="127">
        <f>SUM(Costs!AC27:AE27)</f>
        <v>9000</v>
      </c>
      <c r="N25" s="127">
        <f>SUM(Costs!AF27:AH27)</f>
        <v>9000</v>
      </c>
      <c r="O25" s="127">
        <f>SUM(Costs!AI27:AK27)</f>
        <v>9000</v>
      </c>
      <c r="P25" s="127">
        <f>SUM(Costs!AL27:AN27)</f>
        <v>9000</v>
      </c>
      <c r="Q25" s="77">
        <f t="shared" si="22"/>
        <v>36000</v>
      </c>
    </row>
    <row r="26" spans="1:17" hidden="1" outlineLevel="1">
      <c r="B26" s="73" t="s">
        <v>222</v>
      </c>
      <c r="C26" s="127">
        <f>SUM(Costs!E28:G28)</f>
        <v>0</v>
      </c>
      <c r="D26" s="127">
        <f>SUM(Costs!H28:J28)</f>
        <v>0</v>
      </c>
      <c r="E26" s="127">
        <f>SUM(Costs!K28:M28)</f>
        <v>1000</v>
      </c>
      <c r="F26" s="127">
        <f>SUM(Costs!N28:P28)</f>
        <v>1500</v>
      </c>
      <c r="G26" s="77">
        <f t="shared" si="20"/>
        <v>2500</v>
      </c>
      <c r="H26" s="127">
        <f>SUM(Costs!Q28:S28)</f>
        <v>0</v>
      </c>
      <c r="I26" s="127">
        <f>SUM(Costs!T28:V28)</f>
        <v>1500</v>
      </c>
      <c r="J26" s="127">
        <f>SUM(Costs!W28:Y28)</f>
        <v>500</v>
      </c>
      <c r="K26" s="127">
        <f>SUM(Costs!Z28:AB28)</f>
        <v>1500</v>
      </c>
      <c r="L26" s="77">
        <f t="shared" si="21"/>
        <v>3500</v>
      </c>
      <c r="M26" s="127">
        <f>SUM(Costs!AC28:AE28)</f>
        <v>1500</v>
      </c>
      <c r="N26" s="127">
        <f>SUM(Costs!AF28:AH28)</f>
        <v>1500</v>
      </c>
      <c r="O26" s="127">
        <f>SUM(Costs!AI28:AK28)</f>
        <v>500</v>
      </c>
      <c r="P26" s="127">
        <f>SUM(Costs!AL28:AN28)</f>
        <v>1500</v>
      </c>
      <c r="Q26" s="77">
        <f t="shared" si="22"/>
        <v>5000</v>
      </c>
    </row>
    <row r="27" spans="1:17" hidden="1" outlineLevel="1">
      <c r="B27" s="73" t="s">
        <v>223</v>
      </c>
      <c r="C27" s="127">
        <f>SUM(Costs!E29:G29)</f>
        <v>0</v>
      </c>
      <c r="D27" s="127">
        <f>SUM(Costs!H29:J29)</f>
        <v>0</v>
      </c>
      <c r="E27" s="127">
        <f>SUM(Costs!K29:M29)</f>
        <v>2000</v>
      </c>
      <c r="F27" s="127">
        <f>SUM(Costs!N29:P29)</f>
        <v>0</v>
      </c>
      <c r="G27" s="77">
        <f t="shared" si="20"/>
        <v>2000</v>
      </c>
      <c r="H27" s="127">
        <f>SUM(Costs!Q29:S29)</f>
        <v>0</v>
      </c>
      <c r="I27" s="127">
        <f>SUM(Costs!T29:V29)</f>
        <v>0</v>
      </c>
      <c r="J27" s="127">
        <f>SUM(Costs!W29:Y29)</f>
        <v>0</v>
      </c>
      <c r="K27" s="127">
        <f>SUM(Costs!Z29:AB29)</f>
        <v>0</v>
      </c>
      <c r="L27" s="77">
        <f t="shared" si="21"/>
        <v>0</v>
      </c>
      <c r="M27" s="127">
        <f>SUM(Costs!AC29:AE29)</f>
        <v>0</v>
      </c>
      <c r="N27" s="127">
        <f>SUM(Costs!AF29:AH29)</f>
        <v>0</v>
      </c>
      <c r="O27" s="127">
        <f>SUM(Costs!AI29:AK29)</f>
        <v>0</v>
      </c>
      <c r="P27" s="127">
        <f>SUM(Costs!AL29:AN29)</f>
        <v>0</v>
      </c>
      <c r="Q27" s="77">
        <f t="shared" si="22"/>
        <v>0</v>
      </c>
    </row>
    <row r="28" spans="1:17" hidden="1" outlineLevel="1">
      <c r="B28" s="73" t="s">
        <v>224</v>
      </c>
      <c r="C28" s="127">
        <f>SUM(Costs!E30:G30)</f>
        <v>0</v>
      </c>
      <c r="D28" s="127">
        <f>SUM(Costs!H30:J30)</f>
        <v>500</v>
      </c>
      <c r="E28" s="127">
        <f>SUM(Costs!K30:M30)</f>
        <v>0</v>
      </c>
      <c r="F28" s="127">
        <f>SUM(Costs!N30:P30)</f>
        <v>0</v>
      </c>
      <c r="G28" s="77">
        <f t="shared" si="20"/>
        <v>500</v>
      </c>
      <c r="H28" s="127">
        <f>SUM(Costs!Q30:S30)</f>
        <v>0</v>
      </c>
      <c r="I28" s="127">
        <f>SUM(Costs!T30:V30)</f>
        <v>3000</v>
      </c>
      <c r="J28" s="127">
        <f>SUM(Costs!W30:Y30)</f>
        <v>0</v>
      </c>
      <c r="K28" s="127">
        <f>SUM(Costs!Z30:AB30)</f>
        <v>0</v>
      </c>
      <c r="L28" s="77">
        <f t="shared" si="21"/>
        <v>3000</v>
      </c>
      <c r="M28" s="127">
        <f>SUM(Costs!AC30:AE30)</f>
        <v>3000</v>
      </c>
      <c r="N28" s="127">
        <f>SUM(Costs!AF30:AH30)</f>
        <v>0</v>
      </c>
      <c r="O28" s="127">
        <f>SUM(Costs!AI30:AK30)</f>
        <v>3000</v>
      </c>
      <c r="P28" s="127">
        <f>SUM(Costs!AL30:AN30)</f>
        <v>0</v>
      </c>
      <c r="Q28" s="77">
        <f t="shared" si="22"/>
        <v>6000</v>
      </c>
    </row>
    <row r="29" spans="1:17" hidden="1" outlineLevel="1">
      <c r="B29" s="73" t="s">
        <v>229</v>
      </c>
      <c r="C29" s="127">
        <f>SUM(Costs!E31:G31)</f>
        <v>0</v>
      </c>
      <c r="D29" s="127">
        <f>SUM(Costs!H31:J31)</f>
        <v>0</v>
      </c>
      <c r="E29" s="127">
        <f>SUM(Costs!K31:M31)</f>
        <v>0</v>
      </c>
      <c r="F29" s="127">
        <f>SUM(Costs!N31:P31)</f>
        <v>0</v>
      </c>
      <c r="G29" s="77">
        <f t="shared" si="20"/>
        <v>0</v>
      </c>
      <c r="H29" s="127">
        <f>SUM(Costs!Q31:S31)</f>
        <v>0</v>
      </c>
      <c r="I29" s="127">
        <f>SUM(Costs!T31:V31)</f>
        <v>0</v>
      </c>
      <c r="J29" s="127">
        <f>SUM(Costs!W31:Y31)</f>
        <v>0</v>
      </c>
      <c r="K29" s="127">
        <f>SUM(Costs!Z31:AB31)</f>
        <v>0</v>
      </c>
      <c r="L29" s="77">
        <f t="shared" si="21"/>
        <v>0</v>
      </c>
      <c r="M29" s="127">
        <f>SUM(Costs!AC31:AE31)</f>
        <v>0</v>
      </c>
      <c r="N29" s="127">
        <f>SUM(Costs!AF31:AH31)</f>
        <v>1000</v>
      </c>
      <c r="O29" s="127">
        <f>SUM(Costs!AI31:AK31)</f>
        <v>6000</v>
      </c>
      <c r="P29" s="127">
        <f>SUM(Costs!AL31:AN31)</f>
        <v>0</v>
      </c>
      <c r="Q29" s="77">
        <f t="shared" si="22"/>
        <v>7000</v>
      </c>
    </row>
    <row r="30" spans="1:17" hidden="1" outlineLevel="1">
      <c r="B30" s="73" t="s">
        <v>279</v>
      </c>
      <c r="C30" s="127">
        <f>SUM(Costs!E32:G32)</f>
        <v>0</v>
      </c>
      <c r="D30" s="127">
        <f>SUM(Costs!H32:J32)</f>
        <v>0</v>
      </c>
      <c r="E30" s="127">
        <f>SUM(Costs!K32:M32)</f>
        <v>0</v>
      </c>
      <c r="F30" s="127">
        <f>SUM(Costs!N32:P32)</f>
        <v>0</v>
      </c>
      <c r="G30" s="77">
        <f t="shared" si="20"/>
        <v>0</v>
      </c>
      <c r="H30" s="127">
        <f>SUM(Costs!Q32:S32)</f>
        <v>400</v>
      </c>
      <c r="I30" s="127">
        <f>SUM(Costs!T32:V32)</f>
        <v>600</v>
      </c>
      <c r="J30" s="127">
        <f>SUM(Costs!W32:Y32)</f>
        <v>600</v>
      </c>
      <c r="K30" s="127">
        <f>SUM(Costs!Z32:AB32)</f>
        <v>600</v>
      </c>
      <c r="L30" s="77">
        <f t="shared" si="21"/>
        <v>2200</v>
      </c>
      <c r="M30" s="127">
        <f>SUM(Costs!AC32:AE32)</f>
        <v>600</v>
      </c>
      <c r="N30" s="127">
        <f>SUM(Costs!AF32:AH32)</f>
        <v>600</v>
      </c>
      <c r="O30" s="127">
        <f>SUM(Costs!AI32:AK32)</f>
        <v>600</v>
      </c>
      <c r="P30" s="127">
        <f>SUM(Costs!AL32:AN32)</f>
        <v>600</v>
      </c>
      <c r="Q30" s="77">
        <f t="shared" si="22"/>
        <v>2400</v>
      </c>
    </row>
    <row r="31" spans="1:17" collapsed="1">
      <c r="A31" s="132"/>
      <c r="B31" s="132" t="s">
        <v>115</v>
      </c>
      <c r="C31" s="133">
        <f>SUM(C32:C34)</f>
        <v>650</v>
      </c>
      <c r="D31" s="133">
        <f t="shared" ref="D31:Q31" si="23">SUM(D32:D34)</f>
        <v>950</v>
      </c>
      <c r="E31" s="133">
        <f t="shared" si="23"/>
        <v>450</v>
      </c>
      <c r="F31" s="133">
        <f t="shared" si="23"/>
        <v>950</v>
      </c>
      <c r="G31" s="133">
        <f t="shared" si="23"/>
        <v>3000</v>
      </c>
      <c r="H31" s="133">
        <f t="shared" si="23"/>
        <v>1300</v>
      </c>
      <c r="I31" s="133">
        <f t="shared" si="23"/>
        <v>1400</v>
      </c>
      <c r="J31" s="133">
        <f t="shared" si="23"/>
        <v>900</v>
      </c>
      <c r="K31" s="133">
        <f t="shared" si="23"/>
        <v>1400</v>
      </c>
      <c r="L31" s="133">
        <f t="shared" si="23"/>
        <v>5000</v>
      </c>
      <c r="M31" s="133">
        <f t="shared" si="23"/>
        <v>1950</v>
      </c>
      <c r="N31" s="133">
        <f t="shared" si="23"/>
        <v>1850</v>
      </c>
      <c r="O31" s="133">
        <f t="shared" si="23"/>
        <v>1350</v>
      </c>
      <c r="P31" s="133">
        <f t="shared" si="23"/>
        <v>1850</v>
      </c>
      <c r="Q31" s="133">
        <f t="shared" si="23"/>
        <v>7000</v>
      </c>
    </row>
    <row r="32" spans="1:17" hidden="1" outlineLevel="1">
      <c r="B32" s="73" t="s">
        <v>207</v>
      </c>
      <c r="C32" s="127">
        <f>SUM(Costs!E37:G37)</f>
        <v>450</v>
      </c>
      <c r="D32" s="127">
        <f>SUM(Costs!H37:J37)</f>
        <v>450</v>
      </c>
      <c r="E32" s="127">
        <f>SUM(Costs!K37:M37)</f>
        <v>450</v>
      </c>
      <c r="F32" s="127">
        <f>SUM(Costs!N37:P37)</f>
        <v>450</v>
      </c>
      <c r="G32" s="77">
        <f t="shared" si="9"/>
        <v>1800</v>
      </c>
      <c r="H32" s="127">
        <f>SUM(Costs!Q37:S37)</f>
        <v>900</v>
      </c>
      <c r="I32" s="127">
        <f>SUM(Costs!T37:V37)</f>
        <v>900</v>
      </c>
      <c r="J32" s="127">
        <f>SUM(Costs!W37:Y37)</f>
        <v>900</v>
      </c>
      <c r="K32" s="127">
        <f>SUM(Costs!Z37:AB37)</f>
        <v>900</v>
      </c>
      <c r="L32" s="77">
        <f t="shared" si="6"/>
        <v>3600</v>
      </c>
      <c r="M32" s="127">
        <f>SUM(Costs!AC37:AE37)</f>
        <v>1350</v>
      </c>
      <c r="N32" s="127">
        <f>SUM(Costs!AF37:AH37)</f>
        <v>1350</v>
      </c>
      <c r="O32" s="127">
        <f>SUM(Costs!AI37:AK37)</f>
        <v>1350</v>
      </c>
      <c r="P32" s="127">
        <f>SUM(Costs!AL37:AN37)</f>
        <v>1350</v>
      </c>
      <c r="Q32" s="77">
        <f t="shared" si="8"/>
        <v>5400</v>
      </c>
    </row>
    <row r="33" spans="1:17" hidden="1" outlineLevel="1">
      <c r="B33" s="73" t="s">
        <v>239</v>
      </c>
      <c r="C33" s="127">
        <f>SUM(Costs!E38:G38)</f>
        <v>200</v>
      </c>
      <c r="D33" s="127">
        <f>SUM(Costs!H38:J38)</f>
        <v>0</v>
      </c>
      <c r="E33" s="127">
        <f>SUM(Costs!K38:M38)</f>
        <v>0</v>
      </c>
      <c r="F33" s="127">
        <f>SUM(Costs!N38:P38)</f>
        <v>0</v>
      </c>
      <c r="G33" s="77">
        <f t="shared" ref="G33:G34" si="24">SUM(C33,D33,E33,F33)</f>
        <v>200</v>
      </c>
      <c r="H33" s="127">
        <f>SUM(Costs!Q38:S38)</f>
        <v>400</v>
      </c>
      <c r="I33" s="127">
        <f>SUM(Costs!T38:V38)</f>
        <v>0</v>
      </c>
      <c r="J33" s="127">
        <f>SUM(Costs!W38:Y38)</f>
        <v>0</v>
      </c>
      <c r="K33" s="127">
        <f>SUM(Costs!Z38:AB38)</f>
        <v>0</v>
      </c>
      <c r="L33" s="77">
        <f t="shared" ref="L33:L34" si="25">SUM(H33,I33,J33,K33)</f>
        <v>400</v>
      </c>
      <c r="M33" s="127">
        <f>SUM(Costs!AC38:AE38)</f>
        <v>600</v>
      </c>
      <c r="N33" s="127">
        <f>SUM(Costs!AF38:AH38)</f>
        <v>0</v>
      </c>
      <c r="O33" s="127">
        <f>SUM(Costs!AI38:AK38)</f>
        <v>0</v>
      </c>
      <c r="P33" s="127">
        <f>SUM(Costs!AL38:AN38)</f>
        <v>0</v>
      </c>
      <c r="Q33" s="77">
        <f t="shared" ref="Q33:Q34" si="26">SUM(M33,N33,O33,P33)</f>
        <v>600</v>
      </c>
    </row>
    <row r="34" spans="1:17" hidden="1" outlineLevel="1">
      <c r="B34" s="73" t="s">
        <v>233</v>
      </c>
      <c r="C34" s="127">
        <f>SUM(Costs!E39:G39)</f>
        <v>0</v>
      </c>
      <c r="D34" s="127">
        <f>SUM(Costs!H39:J39)</f>
        <v>500</v>
      </c>
      <c r="E34" s="127">
        <f>SUM(Costs!K39:M39)</f>
        <v>0</v>
      </c>
      <c r="F34" s="127">
        <f>SUM(Costs!N39:P39)</f>
        <v>500</v>
      </c>
      <c r="G34" s="77">
        <f t="shared" si="24"/>
        <v>1000</v>
      </c>
      <c r="H34" s="127">
        <f>SUM(Costs!Q39:S39)</f>
        <v>0</v>
      </c>
      <c r="I34" s="127">
        <f>SUM(Costs!T39:V39)</f>
        <v>500</v>
      </c>
      <c r="J34" s="127">
        <f>SUM(Costs!W39:Y39)</f>
        <v>0</v>
      </c>
      <c r="K34" s="127">
        <f>SUM(Costs!Z39:AB39)</f>
        <v>500</v>
      </c>
      <c r="L34" s="77">
        <f t="shared" si="25"/>
        <v>1000</v>
      </c>
      <c r="M34" s="127">
        <f>SUM(Costs!AC39:AE39)</f>
        <v>0</v>
      </c>
      <c r="N34" s="127">
        <f>SUM(Costs!AF39:AH39)</f>
        <v>500</v>
      </c>
      <c r="O34" s="127">
        <f>SUM(Costs!AI39:AK39)</f>
        <v>0</v>
      </c>
      <c r="P34" s="127">
        <f>SUM(Costs!AL39:AN39)</f>
        <v>500</v>
      </c>
      <c r="Q34" s="77">
        <f t="shared" si="26"/>
        <v>1000</v>
      </c>
    </row>
    <row r="35" spans="1:17" collapsed="1">
      <c r="A35" s="132"/>
      <c r="B35" s="132" t="s">
        <v>116</v>
      </c>
      <c r="C35" s="133">
        <f>SUM(C36:C42)</f>
        <v>1234.5</v>
      </c>
      <c r="D35" s="133">
        <f>SUM(D36:D42)</f>
        <v>4187.5</v>
      </c>
      <c r="E35" s="133">
        <f>SUM(E36:E42)</f>
        <v>6288.15</v>
      </c>
      <c r="F35" s="133">
        <f>SUM(F36:F42)</f>
        <v>10434.700000000001</v>
      </c>
      <c r="G35" s="133">
        <f t="shared" ref="G35:G45" si="27">SUM(C35,D35,E35,F35)</f>
        <v>22144.85</v>
      </c>
      <c r="H35" s="133">
        <f>SUM(H36:H42)</f>
        <v>8642.25</v>
      </c>
      <c r="I35" s="133">
        <f>SUM(I36:I42)</f>
        <v>11666.4</v>
      </c>
      <c r="J35" s="133">
        <f>SUM(J36:J42)</f>
        <v>11739.9</v>
      </c>
      <c r="K35" s="133">
        <f>SUM(K36:K42)</f>
        <v>13020.7</v>
      </c>
      <c r="L35" s="133">
        <f t="shared" ref="L35:L45" si="28">SUM(H35,I35,J35,K35)</f>
        <v>45069.25</v>
      </c>
      <c r="M35" s="133">
        <f>SUM(M36:M42)</f>
        <v>12539.1</v>
      </c>
      <c r="N35" s="133">
        <f>SUM(N36:N42)</f>
        <v>12494.1</v>
      </c>
      <c r="O35" s="133">
        <f>SUM(O36:O42)</f>
        <v>12686.1</v>
      </c>
      <c r="P35" s="133">
        <f>SUM(P36:P42)</f>
        <v>13374.1</v>
      </c>
      <c r="Q35" s="133">
        <f t="shared" ref="Q35:Q45" si="29">SUM(M35,N35,O35,P35)</f>
        <v>51093.4</v>
      </c>
    </row>
    <row r="36" spans="1:17" hidden="1" outlineLevel="1">
      <c r="B36" s="73" t="s">
        <v>205</v>
      </c>
      <c r="C36" s="127">
        <f>SUM(Costs!E45:G45)</f>
        <v>750</v>
      </c>
      <c r="D36" s="127">
        <f>SUM(Costs!H45:J45)</f>
        <v>750</v>
      </c>
      <c r="E36" s="127">
        <f>SUM(Costs!K45:M45)</f>
        <v>750</v>
      </c>
      <c r="F36" s="127">
        <f>SUM(Costs!N45:P45)</f>
        <v>750</v>
      </c>
      <c r="G36" s="77">
        <f t="shared" si="27"/>
        <v>3000</v>
      </c>
      <c r="H36" s="127">
        <f>SUM(Costs!Q45:S45)</f>
        <v>750</v>
      </c>
      <c r="I36" s="127">
        <f>SUM(Costs!T45:V45)</f>
        <v>750</v>
      </c>
      <c r="J36" s="127">
        <f>SUM(Costs!W45:Y45)</f>
        <v>750</v>
      </c>
      <c r="K36" s="127">
        <f>SUM(Costs!Z45:AB45)</f>
        <v>750</v>
      </c>
      <c r="L36" s="77">
        <f t="shared" si="28"/>
        <v>3000</v>
      </c>
      <c r="M36" s="127">
        <f>SUM(Costs!AC45:AE45)</f>
        <v>750</v>
      </c>
      <c r="N36" s="127">
        <f>SUM(Costs!AF45:AH45)</f>
        <v>750</v>
      </c>
      <c r="O36" s="127">
        <f>SUM(Costs!AI45:AK45)</f>
        <v>750</v>
      </c>
      <c r="P36" s="127">
        <f>SUM(Costs!AL45:AN45)</f>
        <v>750</v>
      </c>
      <c r="Q36" s="77">
        <f t="shared" si="29"/>
        <v>3000</v>
      </c>
    </row>
    <row r="37" spans="1:17" hidden="1" outlineLevel="1">
      <c r="B37" s="73" t="s">
        <v>206</v>
      </c>
      <c r="C37" s="127">
        <f>SUM(Costs!E46:G46)</f>
        <v>0</v>
      </c>
      <c r="D37" s="127">
        <f>SUM(Costs!H46:J46)</f>
        <v>0</v>
      </c>
      <c r="E37" s="127">
        <f>SUM(Costs!K46:M46)</f>
        <v>0</v>
      </c>
      <c r="F37" s="127">
        <f>SUM(Costs!N46:P46)</f>
        <v>1500</v>
      </c>
      <c r="G37" s="77">
        <f t="shared" ref="G37:G42" si="30">SUM(C37,D37,E37,F37)</f>
        <v>1500</v>
      </c>
      <c r="H37" s="127">
        <f>SUM(Costs!Q46:S46)</f>
        <v>1500</v>
      </c>
      <c r="I37" s="127">
        <f>SUM(Costs!T46:V46)</f>
        <v>1500</v>
      </c>
      <c r="J37" s="127">
        <f>SUM(Costs!W46:Y46)</f>
        <v>1500</v>
      </c>
      <c r="K37" s="127">
        <f>SUM(Costs!Z46:AB46)</f>
        <v>1500</v>
      </c>
      <c r="L37" s="77">
        <f t="shared" ref="L37:L42" si="31">SUM(H37,I37,J37,K37)</f>
        <v>6000</v>
      </c>
      <c r="M37" s="127">
        <f>SUM(Costs!AC46:AE46)</f>
        <v>1500</v>
      </c>
      <c r="N37" s="127">
        <f>SUM(Costs!AF46:AH46)</f>
        <v>1500</v>
      </c>
      <c r="O37" s="127">
        <f>SUM(Costs!AI46:AK46)</f>
        <v>1500</v>
      </c>
      <c r="P37" s="127">
        <f>SUM(Costs!AL46:AN46)</f>
        <v>1500</v>
      </c>
      <c r="Q37" s="77">
        <f t="shared" ref="Q37:Q42" si="32">SUM(M37,N37,O37,P37)</f>
        <v>6000</v>
      </c>
    </row>
    <row r="38" spans="1:17" hidden="1" outlineLevel="1">
      <c r="B38" s="73" t="s">
        <v>209</v>
      </c>
      <c r="C38" s="127">
        <f>SUM(Costs!E47:G47)</f>
        <v>150</v>
      </c>
      <c r="D38" s="127">
        <f>SUM(Costs!H47:J47)</f>
        <v>150</v>
      </c>
      <c r="E38" s="127">
        <f>SUM(Costs!K47:M47)</f>
        <v>150</v>
      </c>
      <c r="F38" s="127">
        <f>SUM(Costs!N47:P47)</f>
        <v>150</v>
      </c>
      <c r="G38" s="77">
        <f t="shared" si="30"/>
        <v>600</v>
      </c>
      <c r="H38" s="127">
        <f>SUM(Costs!Q47:S47)</f>
        <v>150</v>
      </c>
      <c r="I38" s="127">
        <f>SUM(Costs!T47:V47)</f>
        <v>150</v>
      </c>
      <c r="J38" s="127">
        <f>SUM(Costs!W47:Y47)</f>
        <v>150</v>
      </c>
      <c r="K38" s="127">
        <f>SUM(Costs!Z47:AB47)</f>
        <v>150</v>
      </c>
      <c r="L38" s="77">
        <f t="shared" si="31"/>
        <v>600</v>
      </c>
      <c r="M38" s="127">
        <f>SUM(Costs!AC47:AE47)</f>
        <v>150</v>
      </c>
      <c r="N38" s="127">
        <f>SUM(Costs!AF47:AH47)</f>
        <v>150</v>
      </c>
      <c r="O38" s="127">
        <f>SUM(Costs!AI47:AK47)</f>
        <v>150</v>
      </c>
      <c r="P38" s="127">
        <f>SUM(Costs!AL47:AN47)</f>
        <v>150</v>
      </c>
      <c r="Q38" s="77">
        <f t="shared" si="32"/>
        <v>600</v>
      </c>
    </row>
    <row r="39" spans="1:17" hidden="1" outlineLevel="1">
      <c r="B39" s="73" t="s">
        <v>210</v>
      </c>
      <c r="C39" s="127">
        <f>SUM(Costs!E48:G48)</f>
        <v>0</v>
      </c>
      <c r="D39" s="127">
        <f>SUM(Costs!H48:J48)</f>
        <v>2800</v>
      </c>
      <c r="E39" s="127">
        <f>SUM(Costs!K48:M48)</f>
        <v>1500</v>
      </c>
      <c r="F39" s="127">
        <f>SUM(Costs!N48:P48)</f>
        <v>0</v>
      </c>
      <c r="G39" s="77">
        <f t="shared" si="30"/>
        <v>4300</v>
      </c>
      <c r="H39" s="127">
        <f>SUM(Costs!Q48:S48)</f>
        <v>1500</v>
      </c>
      <c r="I39" s="127">
        <f>SUM(Costs!T48:V48)</f>
        <v>1500</v>
      </c>
      <c r="J39" s="127">
        <f>SUM(Costs!W48:Y48)</f>
        <v>1500</v>
      </c>
      <c r="K39" s="127">
        <f>SUM(Costs!Z48:AB48)</f>
        <v>1500</v>
      </c>
      <c r="L39" s="77">
        <f t="shared" si="31"/>
        <v>6000</v>
      </c>
      <c r="M39" s="127">
        <f>SUM(Costs!AC48:AE48)</f>
        <v>1500</v>
      </c>
      <c r="N39" s="127">
        <f>SUM(Costs!AF48:AH48)</f>
        <v>1500</v>
      </c>
      <c r="O39" s="127">
        <f>SUM(Costs!AI48:AK48)</f>
        <v>1500</v>
      </c>
      <c r="P39" s="127">
        <f>SUM(Costs!AL48:AN48)</f>
        <v>1500</v>
      </c>
      <c r="Q39" s="77">
        <f t="shared" si="32"/>
        <v>6000</v>
      </c>
    </row>
    <row r="40" spans="1:17" hidden="1" outlineLevel="1">
      <c r="B40" s="73" t="s">
        <v>212</v>
      </c>
      <c r="C40" s="127">
        <f>SUM(Costs!E49:G49)</f>
        <v>0</v>
      </c>
      <c r="D40" s="127">
        <f>SUM(Costs!H49:J49)</f>
        <v>0</v>
      </c>
      <c r="E40" s="127">
        <f>SUM(Costs!K49:M49)</f>
        <v>2625</v>
      </c>
      <c r="F40" s="127">
        <f>SUM(Costs!N49:P49)</f>
        <v>5250</v>
      </c>
      <c r="G40" s="77">
        <f t="shared" si="30"/>
        <v>7875</v>
      </c>
      <c r="H40" s="127">
        <f>SUM(Costs!Q49:S49)</f>
        <v>2625</v>
      </c>
      <c r="I40" s="127">
        <f>SUM(Costs!T49:V49)</f>
        <v>5250</v>
      </c>
      <c r="J40" s="127">
        <f>SUM(Costs!W49:Y49)</f>
        <v>5250</v>
      </c>
      <c r="K40" s="127">
        <f>SUM(Costs!Z49:AB49)</f>
        <v>5250</v>
      </c>
      <c r="L40" s="77">
        <f t="shared" si="31"/>
        <v>18375</v>
      </c>
      <c r="M40" s="127">
        <f>SUM(Costs!AC49:AE49)</f>
        <v>5250</v>
      </c>
      <c r="N40" s="127">
        <f>SUM(Costs!AF49:AH49)</f>
        <v>5250</v>
      </c>
      <c r="O40" s="127">
        <f>SUM(Costs!AI49:AK49)</f>
        <v>5250</v>
      </c>
      <c r="P40" s="127">
        <f>SUM(Costs!AL49:AN49)</f>
        <v>5250</v>
      </c>
      <c r="Q40" s="77">
        <f t="shared" si="32"/>
        <v>21000</v>
      </c>
    </row>
    <row r="41" spans="1:17" hidden="1" outlineLevel="1">
      <c r="B41" s="73" t="s">
        <v>230</v>
      </c>
      <c r="C41" s="127">
        <f>SUM(Costs!E50:G50)</f>
        <v>0</v>
      </c>
      <c r="D41" s="127">
        <f>SUM(Costs!H50:J50)</f>
        <v>0</v>
      </c>
      <c r="E41" s="127">
        <f>SUM(Costs!K50:M50)</f>
        <v>0</v>
      </c>
      <c r="F41" s="127">
        <f>SUM(Costs!N50:P50)</f>
        <v>1000</v>
      </c>
      <c r="G41" s="77">
        <f t="shared" si="30"/>
        <v>1000</v>
      </c>
      <c r="H41" s="127">
        <f>SUM(Costs!Q50:S50)</f>
        <v>0</v>
      </c>
      <c r="I41" s="127">
        <f>SUM(Costs!T50:V50)</f>
        <v>0</v>
      </c>
      <c r="J41" s="127">
        <f>SUM(Costs!W50:Y50)</f>
        <v>0</v>
      </c>
      <c r="K41" s="127">
        <f>SUM(Costs!Z50:AB50)</f>
        <v>1000</v>
      </c>
      <c r="L41" s="77">
        <f t="shared" si="31"/>
        <v>1000</v>
      </c>
      <c r="M41" s="127">
        <f>SUM(Costs!AC50:AE50)</f>
        <v>0</v>
      </c>
      <c r="N41" s="127">
        <f>SUM(Costs!AF50:AH50)</f>
        <v>0</v>
      </c>
      <c r="O41" s="127">
        <f>SUM(Costs!AI50:AK50)</f>
        <v>0</v>
      </c>
      <c r="P41" s="127">
        <f>SUM(Costs!AL50:AN50)</f>
        <v>1000</v>
      </c>
      <c r="Q41" s="77">
        <f t="shared" si="32"/>
        <v>1000</v>
      </c>
    </row>
    <row r="42" spans="1:17" hidden="1" outlineLevel="1">
      <c r="B42" s="73" t="s">
        <v>213</v>
      </c>
      <c r="C42" s="127">
        <f>SUM(Costs!E51:G51)</f>
        <v>334.5</v>
      </c>
      <c r="D42" s="127">
        <f>SUM(Costs!H51:J51)</f>
        <v>487.5</v>
      </c>
      <c r="E42" s="127">
        <f>SUM(Costs!K51:M51)</f>
        <v>1263.1500000000001</v>
      </c>
      <c r="F42" s="127">
        <f>SUM(Costs!N51:P51)</f>
        <v>1784.6999999999998</v>
      </c>
      <c r="G42" s="77">
        <f t="shared" si="30"/>
        <v>3869.85</v>
      </c>
      <c r="H42" s="127">
        <f>SUM(Costs!Q51:S51)</f>
        <v>2117.25</v>
      </c>
      <c r="I42" s="127">
        <f>SUM(Costs!T51:V51)</f>
        <v>2516.3999999999996</v>
      </c>
      <c r="J42" s="127">
        <f>SUM(Costs!W51:Y51)</f>
        <v>2589.8999999999996</v>
      </c>
      <c r="K42" s="127">
        <f>SUM(Costs!Z51:AB51)</f>
        <v>2870.7</v>
      </c>
      <c r="L42" s="77">
        <f t="shared" si="31"/>
        <v>10094.25</v>
      </c>
      <c r="M42" s="127">
        <f>SUM(Costs!AC51:AE51)</f>
        <v>3389.1000000000004</v>
      </c>
      <c r="N42" s="127">
        <f>SUM(Costs!AF51:AH51)</f>
        <v>3344.1000000000004</v>
      </c>
      <c r="O42" s="127">
        <f>SUM(Costs!AI51:AK51)</f>
        <v>3536.1</v>
      </c>
      <c r="P42" s="127">
        <f>SUM(Costs!AL51:AN51)</f>
        <v>3224.1</v>
      </c>
      <c r="Q42" s="77">
        <f t="shared" si="32"/>
        <v>13493.400000000001</v>
      </c>
    </row>
    <row r="43" spans="1:17" collapsed="1">
      <c r="A43" s="132"/>
      <c r="B43" s="132" t="s">
        <v>118</v>
      </c>
      <c r="C43" s="133">
        <f>SUM(C44:C44)</f>
        <v>0</v>
      </c>
      <c r="D43" s="133">
        <f>SUM(D44:D44)</f>
        <v>0</v>
      </c>
      <c r="E43" s="133">
        <f>SUM(E44:E44)</f>
        <v>1975</v>
      </c>
      <c r="F43" s="133">
        <f>SUM(F44:F44)</f>
        <v>2475</v>
      </c>
      <c r="G43" s="133">
        <f t="shared" si="27"/>
        <v>4450</v>
      </c>
      <c r="H43" s="133">
        <f>SUM(H44:H44)</f>
        <v>2900</v>
      </c>
      <c r="I43" s="133">
        <f>SUM(I44:I44)</f>
        <v>3614.2857142857147</v>
      </c>
      <c r="J43" s="133">
        <f>SUM(J44:J44)</f>
        <v>4167.8571428571431</v>
      </c>
      <c r="K43" s="133">
        <f>SUM(K44:K44)</f>
        <v>4917.8571428571431</v>
      </c>
      <c r="L43" s="133">
        <f t="shared" si="28"/>
        <v>15600.000000000002</v>
      </c>
      <c r="M43" s="133">
        <f>SUM(M44:M44)</f>
        <v>6162.8571428571431</v>
      </c>
      <c r="N43" s="133">
        <f>SUM(N44:N44)</f>
        <v>6477.8571428571422</v>
      </c>
      <c r="O43" s="133">
        <f>SUM(O44:O44)</f>
        <v>7090.3571428571413</v>
      </c>
      <c r="P43" s="133">
        <f>SUM(P44:P44)</f>
        <v>8140.3571428571413</v>
      </c>
      <c r="Q43" s="133">
        <f t="shared" si="29"/>
        <v>27871.428571428569</v>
      </c>
    </row>
    <row r="44" spans="1:17" hidden="1" outlineLevel="1">
      <c r="B44" s="73" t="s">
        <v>231</v>
      </c>
      <c r="C44" s="127">
        <f>SUM(Costs!E64:G64)</f>
        <v>0</v>
      </c>
      <c r="D44" s="127">
        <f>SUM(Costs!H64:J64)</f>
        <v>0</v>
      </c>
      <c r="E44" s="127">
        <f>SUM(Costs!K64:M64)</f>
        <v>1975</v>
      </c>
      <c r="F44" s="127">
        <f>SUM(Costs!N64:P64)</f>
        <v>2475</v>
      </c>
      <c r="G44" s="77">
        <f t="shared" si="27"/>
        <v>4450</v>
      </c>
      <c r="H44" s="127">
        <f>SUM(Costs!Q64:S64)</f>
        <v>2900</v>
      </c>
      <c r="I44" s="127">
        <f>SUM(Costs!T64:V64)</f>
        <v>3614.2857142857147</v>
      </c>
      <c r="J44" s="127">
        <f>SUM(Costs!W64:Y64)</f>
        <v>4167.8571428571431</v>
      </c>
      <c r="K44" s="127">
        <f>SUM(Costs!Z64:AB64)</f>
        <v>4917.8571428571431</v>
      </c>
      <c r="L44" s="77">
        <f t="shared" si="28"/>
        <v>15600.000000000002</v>
      </c>
      <c r="M44" s="127">
        <f>SUM(Costs!AC64:AE64)</f>
        <v>6162.8571428571431</v>
      </c>
      <c r="N44" s="127">
        <f>SUM(Costs!AF64:AH64)</f>
        <v>6477.8571428571422</v>
      </c>
      <c r="O44" s="127">
        <f>SUM(Costs!AI64:AK64)</f>
        <v>7090.3571428571413</v>
      </c>
      <c r="P44" s="127">
        <f>SUM(Costs!AL64:AN64)</f>
        <v>8140.3571428571413</v>
      </c>
      <c r="Q44" s="77">
        <f t="shared" si="29"/>
        <v>27871.428571428569</v>
      </c>
    </row>
    <row r="45" spans="1:17" collapsed="1">
      <c r="A45" s="132"/>
      <c r="B45" s="132" t="s">
        <v>121</v>
      </c>
      <c r="C45" s="133">
        <f>SUM(C46:C46)</f>
        <v>0</v>
      </c>
      <c r="D45" s="133">
        <f>SUM(D46:D46)</f>
        <v>0</v>
      </c>
      <c r="E45" s="133">
        <f>SUM(E46:E46)</f>
        <v>152.87470679612443</v>
      </c>
      <c r="F45" s="133">
        <f>SUM(F46:F46)</f>
        <v>722.56601465492463</v>
      </c>
      <c r="G45" s="133">
        <f t="shared" si="27"/>
        <v>875.44072145104906</v>
      </c>
      <c r="H45" s="133">
        <f>SUM(H46:H46)</f>
        <v>969.19299188529362</v>
      </c>
      <c r="I45" s="133">
        <f>SUM(I46:I46)</f>
        <v>969.19299188529362</v>
      </c>
      <c r="J45" s="133">
        <f>SUM(J46:J46)</f>
        <v>969.19299188529362</v>
      </c>
      <c r="K45" s="133">
        <f>SUM(K46:K46)</f>
        <v>929.77085944643318</v>
      </c>
      <c r="L45" s="133">
        <f t="shared" si="28"/>
        <v>3837.3498351023136</v>
      </c>
      <c r="M45" s="133">
        <f>SUM(M46:M46)</f>
        <v>870.29667119384362</v>
      </c>
      <c r="N45" s="133">
        <f>SUM(N46:N46)</f>
        <v>810.38135861806245</v>
      </c>
      <c r="O45" s="133">
        <f>SUM(O46:O46)</f>
        <v>750.02164986832281</v>
      </c>
      <c r="P45" s="133">
        <f>SUM(P46:P46)</f>
        <v>689.2142488263014</v>
      </c>
      <c r="Q45" s="133">
        <f t="shared" si="29"/>
        <v>3119.9139285065303</v>
      </c>
    </row>
    <row r="46" spans="1:17" hidden="1" outlineLevel="1">
      <c r="B46" s="73" t="s">
        <v>284</v>
      </c>
      <c r="C46" s="127">
        <f>SUM(Costs!E56:G56)</f>
        <v>0</v>
      </c>
      <c r="D46" s="127">
        <f>SUM(Costs!H56:J56)</f>
        <v>0</v>
      </c>
      <c r="E46" s="127">
        <f>SUM(Costs!K56:M56)</f>
        <v>152.87470679612443</v>
      </c>
      <c r="F46" s="127">
        <f>SUM(Costs!N56:P56)</f>
        <v>722.56601465492463</v>
      </c>
      <c r="G46" s="77">
        <f t="shared" ref="G46" si="33">SUM(C46,D46,E46,F46)</f>
        <v>875.44072145104906</v>
      </c>
      <c r="H46" s="127">
        <f>SUM(Costs!Q56:S56)</f>
        <v>969.19299188529362</v>
      </c>
      <c r="I46" s="127">
        <f>SUM(Costs!T56:V56)</f>
        <v>969.19299188529362</v>
      </c>
      <c r="J46" s="127">
        <f>SUM(Costs!W56:Y56)</f>
        <v>969.19299188529362</v>
      </c>
      <c r="K46" s="127">
        <f>SUM(Costs!Z56:AB56)</f>
        <v>929.77085944643318</v>
      </c>
      <c r="L46" s="77">
        <f t="shared" ref="L46" si="34">SUM(H46,I46,J46,K46)</f>
        <v>3837.3498351023136</v>
      </c>
      <c r="M46" s="127">
        <f>SUM(Costs!AC56:AE56)</f>
        <v>870.29667119384362</v>
      </c>
      <c r="N46" s="127">
        <f>SUM(Costs!AF56:AH56)</f>
        <v>810.38135861806245</v>
      </c>
      <c r="O46" s="127">
        <f>SUM(Costs!AI56:AK56)</f>
        <v>750.02164986832281</v>
      </c>
      <c r="P46" s="127">
        <f>SUM(Costs!AL56:AN56)</f>
        <v>689.2142488263014</v>
      </c>
      <c r="Q46" s="77">
        <f t="shared" ref="Q46" si="35">SUM(M46,N46,O46,P46)</f>
        <v>3119.9139285065303</v>
      </c>
    </row>
    <row r="47" spans="1:17" s="76" customFormat="1" collapsed="1">
      <c r="A47" s="130"/>
      <c r="B47" s="129" t="s">
        <v>102</v>
      </c>
      <c r="C47" s="131">
        <f>C4-C7</f>
        <v>-11484.5</v>
      </c>
      <c r="D47" s="131">
        <f t="shared" ref="D47:Q47" si="36">D4-D7</f>
        <v>-16737.5</v>
      </c>
      <c r="E47" s="131">
        <f t="shared" si="36"/>
        <v>-45496.024706796125</v>
      </c>
      <c r="F47" s="131">
        <f t="shared" si="36"/>
        <v>-59149.486014654925</v>
      </c>
      <c r="G47" s="131">
        <f t="shared" si="36"/>
        <v>-132867.51072145105</v>
      </c>
      <c r="H47" s="131">
        <f t="shared" si="36"/>
        <v>-52964.342991885293</v>
      </c>
      <c r="I47" s="131">
        <f t="shared" si="36"/>
        <v>-41301.128706171003</v>
      </c>
      <c r="J47" s="131">
        <f t="shared" si="36"/>
        <v>-5681.1051347424363</v>
      </c>
      <c r="K47" s="131">
        <f t="shared" si="36"/>
        <v>11534.977747696423</v>
      </c>
      <c r="L47" s="131">
        <f t="shared" si="36"/>
        <v>-88411.599085102323</v>
      </c>
      <c r="M47" s="131">
        <f t="shared" si="36"/>
        <v>26244.404935949002</v>
      </c>
      <c r="N47" s="131">
        <f t="shared" si="36"/>
        <v>79134.985873524813</v>
      </c>
      <c r="O47" s="131">
        <f t="shared" si="36"/>
        <v>151616.86208227451</v>
      </c>
      <c r="P47" s="131">
        <f t="shared" si="36"/>
        <v>170845.34532081656</v>
      </c>
      <c r="Q47" s="131">
        <f t="shared" si="36"/>
        <v>427841.59821256489</v>
      </c>
    </row>
    <row r="48" spans="1:17" s="79" customFormat="1">
      <c r="A48" s="73"/>
      <c r="B48" s="73" t="s">
        <v>103</v>
      </c>
      <c r="G48" s="134">
        <f>IF(G47&gt;0,G47*33.99%,0)</f>
        <v>0</v>
      </c>
      <c r="L48" s="134">
        <f>IF(L47&gt;0,L47*33.99%,0)</f>
        <v>0</v>
      </c>
      <c r="Q48" s="134">
        <f>IF(Q47+L47+G47&gt;0,(Q47+L47+G47)*33.99%,0)</f>
        <v>70210.589809203317</v>
      </c>
    </row>
    <row r="49" spans="1:17" s="76" customFormat="1">
      <c r="A49" s="130"/>
      <c r="B49" s="129" t="s">
        <v>104</v>
      </c>
      <c r="C49" s="131"/>
      <c r="D49" s="131"/>
      <c r="E49" s="131"/>
      <c r="F49" s="131"/>
      <c r="G49" s="131">
        <f>G47-G48</f>
        <v>-132867.51072145105</v>
      </c>
      <c r="H49" s="131"/>
      <c r="I49" s="131"/>
      <c r="J49" s="131"/>
      <c r="K49" s="131"/>
      <c r="L49" s="131">
        <f>L47-L48</f>
        <v>-88411.599085102323</v>
      </c>
      <c r="M49" s="131"/>
      <c r="N49" s="131"/>
      <c r="O49" s="131"/>
      <c r="P49" s="131"/>
      <c r="Q49" s="131">
        <f>Q47-Q48</f>
        <v>357631.00840336154</v>
      </c>
    </row>
  </sheetData>
  <conditionalFormatting sqref="C49:G49 C47:Q47">
    <cfRule type="cellIs" dxfId="11" priority="21" operator="lessThan">
      <formula>0</formula>
    </cfRule>
  </conditionalFormatting>
  <conditionalFormatting sqref="G48">
    <cfRule type="cellIs" dxfId="10" priority="18" operator="lessThan">
      <formula>0</formula>
    </cfRule>
    <cfRule type="cellIs" dxfId="9" priority="19" operator="lessThan">
      <formula>0</formula>
    </cfRule>
    <cfRule type="cellIs" dxfId="8" priority="20" operator="lessThan">
      <formula>0</formula>
    </cfRule>
  </conditionalFormatting>
  <conditionalFormatting sqref="H49:L49">
    <cfRule type="cellIs" dxfId="7" priority="17" operator="lessThan">
      <formula>0</formula>
    </cfRule>
  </conditionalFormatting>
  <conditionalFormatting sqref="M49:Q49">
    <cfRule type="cellIs" dxfId="6" priority="13" operator="lessThan">
      <formula>0</formula>
    </cfRule>
  </conditionalFormatting>
  <conditionalFormatting sqref="L48">
    <cfRule type="cellIs" dxfId="5" priority="7" operator="lessThan">
      <formula>0</formula>
    </cfRule>
    <cfRule type="cellIs" dxfId="4" priority="8" operator="lessThan">
      <formula>0</formula>
    </cfRule>
    <cfRule type="cellIs" dxfId="3" priority="9" operator="lessThan">
      <formula>0</formula>
    </cfRule>
  </conditionalFormatting>
  <conditionalFormatting sqref="Q48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horizontalDpi="0" verticalDpi="0"/>
  <ignoredErrors>
    <ignoredError sqref="G31:G45 G49 L31:Q45 Q7 L47:Q47 L4:L9 G4:G7 G8:G9 L17:Q18 G17:G18 O20:Q20 G20 G19:I19 G21:I30 H20:I20 L20:N20 L19:N19 L21:N29" formula="1"/>
    <ignoredError sqref="D10 K22:K23 M9:P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3" workbookViewId="0">
      <selection activeCell="C35" sqref="C35"/>
    </sheetView>
  </sheetViews>
  <sheetFormatPr baseColWidth="10" defaultColWidth="8.83203125" defaultRowHeight="12" x14ac:dyDescent="0"/>
  <cols>
    <col min="1" max="1" width="24.5" style="3" customWidth="1"/>
    <col min="2" max="2" width="27.5" style="3" customWidth="1"/>
    <col min="3" max="6" width="12.6640625" style="3" customWidth="1"/>
    <col min="7" max="7" width="4.5" customWidth="1"/>
    <col min="8" max="8" width="14.5" customWidth="1"/>
  </cols>
  <sheetData>
    <row r="1" spans="1:6" ht="14">
      <c r="A1" s="2"/>
    </row>
    <row r="2" spans="1:6" ht="14">
      <c r="A2" s="2"/>
    </row>
    <row r="3" spans="1:6" ht="14">
      <c r="A3" s="2"/>
    </row>
    <row r="4" spans="1:6" ht="14">
      <c r="A4" s="2" t="s">
        <v>6</v>
      </c>
    </row>
    <row r="5" spans="1:6" ht="14">
      <c r="A5" s="2"/>
    </row>
    <row r="6" spans="1:6" ht="42">
      <c r="A6" s="4" t="s">
        <v>7</v>
      </c>
      <c r="B6" s="5"/>
      <c r="C6" s="7" t="s">
        <v>8</v>
      </c>
      <c r="D6" s="6" t="s">
        <v>0</v>
      </c>
      <c r="E6" s="6" t="s">
        <v>1</v>
      </c>
      <c r="F6" s="8" t="s">
        <v>2</v>
      </c>
    </row>
    <row r="7" spans="1:6" ht="14">
      <c r="A7" s="9" t="s">
        <v>9</v>
      </c>
      <c r="B7" s="10"/>
      <c r="C7" s="11">
        <f>C8+C9+C15</f>
        <v>954.89</v>
      </c>
      <c r="D7" s="11">
        <f t="shared" ref="D7:F7" si="0">D8+D9+D15</f>
        <v>0</v>
      </c>
      <c r="E7" s="11">
        <f t="shared" si="0"/>
        <v>0</v>
      </c>
      <c r="F7" s="11">
        <f t="shared" si="0"/>
        <v>0</v>
      </c>
    </row>
    <row r="8" spans="1:6" ht="14">
      <c r="A8" s="12" t="s">
        <v>10</v>
      </c>
      <c r="B8" s="12"/>
      <c r="C8" s="43">
        <v>954.89</v>
      </c>
      <c r="D8" s="43">
        <v>0</v>
      </c>
      <c r="E8" s="43">
        <v>0</v>
      </c>
      <c r="F8" s="43">
        <v>0</v>
      </c>
    </row>
    <row r="9" spans="1:6" ht="14">
      <c r="A9" s="13" t="s">
        <v>11</v>
      </c>
      <c r="B9" s="13"/>
      <c r="C9" s="43">
        <f t="shared" ref="C9:F9" si="1">SUM(C10:C14)</f>
        <v>0</v>
      </c>
      <c r="D9" s="43">
        <f t="shared" si="1"/>
        <v>0</v>
      </c>
      <c r="E9" s="43">
        <f t="shared" si="1"/>
        <v>0</v>
      </c>
      <c r="F9" s="43">
        <f t="shared" si="1"/>
        <v>0</v>
      </c>
    </row>
    <row r="10" spans="1:6" ht="14">
      <c r="B10" s="14" t="s">
        <v>12</v>
      </c>
      <c r="C10" s="44"/>
      <c r="D10" s="45"/>
      <c r="E10" s="45"/>
      <c r="F10" s="45"/>
    </row>
    <row r="11" spans="1:6" ht="14">
      <c r="B11" s="14" t="s">
        <v>13</v>
      </c>
      <c r="C11" s="44"/>
      <c r="D11" s="45"/>
      <c r="E11" s="45"/>
      <c r="F11" s="45"/>
    </row>
    <row r="12" spans="1:6" ht="14">
      <c r="B12" s="14" t="s">
        <v>14</v>
      </c>
      <c r="C12" s="44"/>
      <c r="D12" s="45"/>
      <c r="E12" s="45"/>
      <c r="F12" s="45"/>
    </row>
    <row r="13" spans="1:6" ht="14">
      <c r="B13" s="14" t="s">
        <v>15</v>
      </c>
      <c r="C13" s="44"/>
      <c r="D13" s="45"/>
      <c r="E13" s="45"/>
      <c r="F13" s="45"/>
    </row>
    <row r="14" spans="1:6" ht="14">
      <c r="B14" s="14" t="s">
        <v>16</v>
      </c>
      <c r="C14" s="44"/>
      <c r="D14" s="45"/>
      <c r="E14" s="45"/>
      <c r="F14" s="45"/>
    </row>
    <row r="15" spans="1:6" ht="14">
      <c r="A15" s="13" t="s">
        <v>17</v>
      </c>
      <c r="B15" s="13"/>
      <c r="C15" s="43">
        <v>0</v>
      </c>
      <c r="D15" s="43">
        <v>0</v>
      </c>
      <c r="E15" s="43">
        <v>0</v>
      </c>
      <c r="F15" s="43">
        <v>0</v>
      </c>
    </row>
    <row r="16" spans="1:6" ht="14">
      <c r="C16" s="15"/>
      <c r="D16" s="16"/>
      <c r="E16" s="16"/>
      <c r="F16" s="16"/>
    </row>
    <row r="17" spans="1:6" ht="14">
      <c r="A17" s="9" t="s">
        <v>18</v>
      </c>
      <c r="B17" s="10"/>
      <c r="C17" s="46">
        <f>SUM(C19,C20,C24,C25,C18,C23)</f>
        <v>169822.74</v>
      </c>
      <c r="D17" s="46">
        <f t="shared" ref="D17:F17" si="2">SUM(D19,D20,D24,D25,D18,D23)</f>
        <v>0</v>
      </c>
      <c r="E17" s="46">
        <f t="shared" si="2"/>
        <v>0</v>
      </c>
      <c r="F17" s="46">
        <f t="shared" si="2"/>
        <v>0</v>
      </c>
    </row>
    <row r="18" spans="1:6" ht="14">
      <c r="A18" s="40" t="s">
        <v>19</v>
      </c>
      <c r="B18" s="12"/>
      <c r="C18" s="43">
        <v>0</v>
      </c>
      <c r="D18" s="43">
        <v>0</v>
      </c>
      <c r="E18" s="43">
        <v>0</v>
      </c>
      <c r="F18" s="43">
        <v>0</v>
      </c>
    </row>
    <row r="19" spans="1:6" ht="14">
      <c r="A19" s="40" t="s">
        <v>20</v>
      </c>
      <c r="B19" s="12"/>
      <c r="C19" s="43">
        <v>0</v>
      </c>
      <c r="D19" s="43">
        <v>0</v>
      </c>
      <c r="E19" s="43">
        <v>0</v>
      </c>
      <c r="F19" s="43">
        <v>0</v>
      </c>
    </row>
    <row r="20" spans="1:6" ht="14">
      <c r="A20" s="40" t="s">
        <v>21</v>
      </c>
      <c r="B20" s="12"/>
      <c r="C20" s="43">
        <f>SUM(C21:C22)</f>
        <v>87610.700000000012</v>
      </c>
      <c r="D20" s="43">
        <f>SUM(D21:D22)</f>
        <v>0</v>
      </c>
      <c r="E20" s="43">
        <f>SUM(E21:E22)</f>
        <v>0</v>
      </c>
      <c r="F20" s="43">
        <f>SUM(F21:F22)</f>
        <v>0</v>
      </c>
    </row>
    <row r="21" spans="1:6" ht="14">
      <c r="A21" s="41"/>
      <c r="B21" s="14" t="s">
        <v>22</v>
      </c>
      <c r="C21" s="47">
        <v>60799.12</v>
      </c>
      <c r="D21" s="47">
        <v>0</v>
      </c>
      <c r="E21" s="47">
        <f>(E66*1.21)*E150</f>
        <v>0</v>
      </c>
      <c r="F21" s="47">
        <f>(F66*1.21)*F150</f>
        <v>0</v>
      </c>
    </row>
    <row r="22" spans="1:6" ht="14">
      <c r="A22" s="41"/>
      <c r="B22" s="14" t="s">
        <v>23</v>
      </c>
      <c r="C22" s="47">
        <v>26811.58</v>
      </c>
      <c r="D22" s="47">
        <v>0</v>
      </c>
      <c r="E22" s="47">
        <v>0</v>
      </c>
      <c r="F22" s="47">
        <v>0</v>
      </c>
    </row>
    <row r="23" spans="1:6" ht="14">
      <c r="A23" s="40" t="s">
        <v>24</v>
      </c>
      <c r="B23" s="12"/>
      <c r="C23" s="43">
        <v>0</v>
      </c>
      <c r="D23" s="43">
        <v>0</v>
      </c>
      <c r="E23" s="43">
        <v>0</v>
      </c>
      <c r="F23" s="43">
        <v>0</v>
      </c>
    </row>
    <row r="24" spans="1:6" ht="14">
      <c r="A24" s="40" t="s">
        <v>25</v>
      </c>
      <c r="B24" s="12"/>
      <c r="C24" s="43">
        <v>82212.039999999994</v>
      </c>
      <c r="D24" s="43">
        <v>0</v>
      </c>
      <c r="E24" s="43">
        <v>0</v>
      </c>
      <c r="F24" s="43">
        <v>0</v>
      </c>
    </row>
    <row r="25" spans="1:6" ht="14">
      <c r="A25" s="42" t="s">
        <v>26</v>
      </c>
      <c r="B25" s="13"/>
      <c r="C25" s="43">
        <v>0</v>
      </c>
      <c r="D25" s="43">
        <v>0</v>
      </c>
      <c r="E25" s="43">
        <v>0</v>
      </c>
      <c r="F25" s="43">
        <v>0</v>
      </c>
    </row>
    <row r="26" spans="1:6" ht="14">
      <c r="A26" s="17" t="s">
        <v>27</v>
      </c>
      <c r="B26" s="17"/>
      <c r="C26" s="48">
        <f>SUM(C7,C17)</f>
        <v>170777.63</v>
      </c>
      <c r="D26" s="48">
        <f>SUM(D7,D17)</f>
        <v>0</v>
      </c>
      <c r="E26" s="48">
        <f>SUM(E7,E17)</f>
        <v>0</v>
      </c>
      <c r="F26" s="48">
        <f>SUM(F7,F17)</f>
        <v>0</v>
      </c>
    </row>
    <row r="27" spans="1:6" ht="14">
      <c r="D27" s="18"/>
      <c r="E27" s="18"/>
      <c r="F27" s="18"/>
    </row>
    <row r="28" spans="1:6" ht="14">
      <c r="D28" s="18"/>
      <c r="E28" s="18"/>
      <c r="F28" s="18"/>
    </row>
    <row r="29" spans="1:6" ht="14">
      <c r="D29" s="18"/>
      <c r="E29" s="18"/>
      <c r="F29" s="18"/>
    </row>
    <row r="30" spans="1:6" ht="42">
      <c r="A30" s="4" t="s">
        <v>28</v>
      </c>
      <c r="C30" s="7" t="s">
        <v>8</v>
      </c>
      <c r="D30" s="6" t="s">
        <v>0</v>
      </c>
      <c r="E30" s="6" t="s">
        <v>1</v>
      </c>
      <c r="F30" s="8" t="s">
        <v>2</v>
      </c>
    </row>
    <row r="31" spans="1:6" ht="14">
      <c r="A31" s="9" t="s">
        <v>29</v>
      </c>
      <c r="B31" s="10"/>
      <c r="C31" s="46" t="e">
        <f>C32+C36+C37+C38</f>
        <v>#REF!</v>
      </c>
      <c r="D31" s="46" t="e">
        <f>D32+D36+D37+D38</f>
        <v>#REF!</v>
      </c>
      <c r="E31" s="46" t="e">
        <f>E32+E36+E37+E38</f>
        <v>#REF!</v>
      </c>
      <c r="F31" s="46" t="e">
        <f>F32+F36+F37+F38</f>
        <v>#REF!</v>
      </c>
    </row>
    <row r="32" spans="1:6">
      <c r="A32" s="19" t="s">
        <v>30</v>
      </c>
      <c r="B32" s="19"/>
      <c r="C32" s="51">
        <f>C33+C35+C34</f>
        <v>296210</v>
      </c>
      <c r="D32" s="51">
        <f t="shared" ref="D32:F32" si="3">D33+D35+D34</f>
        <v>296210</v>
      </c>
      <c r="E32" s="51">
        <f t="shared" si="3"/>
        <v>296210</v>
      </c>
      <c r="F32" s="51">
        <f t="shared" si="3"/>
        <v>296210</v>
      </c>
    </row>
    <row r="33" spans="1:6" s="1" customFormat="1">
      <c r="A33" s="19"/>
      <c r="B33" s="50" t="s">
        <v>56</v>
      </c>
      <c r="C33" s="52">
        <v>18550</v>
      </c>
      <c r="D33" s="52">
        <v>18550</v>
      </c>
      <c r="E33" s="52">
        <v>18550</v>
      </c>
      <c r="F33" s="52">
        <v>18550</v>
      </c>
    </row>
    <row r="34" spans="1:6" s="1" customFormat="1">
      <c r="A34" s="19"/>
      <c r="B34" s="50" t="s">
        <v>58</v>
      </c>
      <c r="C34" s="52">
        <v>-12340</v>
      </c>
      <c r="D34" s="52">
        <v>-12340</v>
      </c>
      <c r="E34" s="52">
        <v>-12340</v>
      </c>
      <c r="F34" s="52">
        <v>-12340</v>
      </c>
    </row>
    <row r="35" spans="1:6" s="1" customFormat="1">
      <c r="A35" s="19"/>
      <c r="B35" s="50" t="s">
        <v>57</v>
      </c>
      <c r="C35" s="52">
        <v>290000</v>
      </c>
      <c r="D35" s="52">
        <v>290000</v>
      </c>
      <c r="E35" s="52">
        <v>290000</v>
      </c>
      <c r="F35" s="52">
        <v>290000</v>
      </c>
    </row>
    <row r="36" spans="1:6">
      <c r="A36" s="19" t="s">
        <v>31</v>
      </c>
      <c r="B36" s="19"/>
      <c r="C36" s="51">
        <v>0</v>
      </c>
      <c r="D36" s="51">
        <v>0</v>
      </c>
      <c r="E36" s="51">
        <v>0</v>
      </c>
      <c r="F36" s="51">
        <v>0</v>
      </c>
    </row>
    <row r="37" spans="1:6">
      <c r="A37" s="49" t="s">
        <v>59</v>
      </c>
      <c r="B37" s="19"/>
      <c r="C37" s="51" t="e">
        <f>#REF!</f>
        <v>#REF!</v>
      </c>
      <c r="D37" s="51" t="e">
        <f>#REF!</f>
        <v>#REF!</v>
      </c>
      <c r="E37" s="51" t="e">
        <f>#REF!</f>
        <v>#REF!</v>
      </c>
      <c r="F37" s="51" t="e">
        <f>#REF!</f>
        <v>#REF!</v>
      </c>
    </row>
    <row r="38" spans="1:6">
      <c r="A38" s="19" t="s">
        <v>32</v>
      </c>
      <c r="B38" s="19"/>
      <c r="C38" s="51">
        <v>0</v>
      </c>
      <c r="D38" s="51">
        <v>0</v>
      </c>
      <c r="E38" s="51">
        <v>0</v>
      </c>
      <c r="F38" s="51">
        <v>0</v>
      </c>
    </row>
    <row r="39" spans="1:6" ht="14">
      <c r="A39" s="15"/>
      <c r="B39" s="15"/>
      <c r="C39" s="53"/>
      <c r="D39" s="54"/>
      <c r="E39" s="54"/>
      <c r="F39" s="54"/>
    </row>
    <row r="40" spans="1:6" ht="14">
      <c r="A40" s="20" t="s">
        <v>33</v>
      </c>
      <c r="B40" s="21"/>
      <c r="C40" s="46">
        <f t="shared" ref="C40:F40" si="4">C41+C46+C58</f>
        <v>52126.53</v>
      </c>
      <c r="D40" s="46">
        <f t="shared" si="4"/>
        <v>50000</v>
      </c>
      <c r="E40" s="46">
        <f t="shared" si="4"/>
        <v>50000</v>
      </c>
      <c r="F40" s="46">
        <f t="shared" si="4"/>
        <v>50000</v>
      </c>
    </row>
    <row r="41" spans="1:6">
      <c r="A41" s="19" t="s">
        <v>34</v>
      </c>
      <c r="B41" s="19"/>
      <c r="C41" s="51">
        <f t="shared" ref="C41:F42" si="5">C42</f>
        <v>50000</v>
      </c>
      <c r="D41" s="51">
        <f t="shared" si="5"/>
        <v>50000</v>
      </c>
      <c r="E41" s="51">
        <f t="shared" si="5"/>
        <v>50000</v>
      </c>
      <c r="F41" s="51">
        <f t="shared" si="5"/>
        <v>50000</v>
      </c>
    </row>
    <row r="42" spans="1:6" ht="14">
      <c r="A42" s="15"/>
      <c r="B42" s="22" t="s">
        <v>35</v>
      </c>
      <c r="C42" s="55">
        <f t="shared" si="5"/>
        <v>50000</v>
      </c>
      <c r="D42" s="55">
        <f t="shared" si="5"/>
        <v>50000</v>
      </c>
      <c r="E42" s="55">
        <f t="shared" si="5"/>
        <v>50000</v>
      </c>
      <c r="F42" s="55">
        <f t="shared" si="5"/>
        <v>50000</v>
      </c>
    </row>
    <row r="43" spans="1:6" ht="14">
      <c r="A43" s="15"/>
      <c r="B43" s="23" t="s">
        <v>36</v>
      </c>
      <c r="C43" s="55">
        <v>50000</v>
      </c>
      <c r="D43" s="55">
        <v>50000</v>
      </c>
      <c r="E43" s="55">
        <v>50000</v>
      </c>
      <c r="F43" s="55">
        <v>50000</v>
      </c>
    </row>
    <row r="44" spans="1:6" ht="14">
      <c r="A44" s="15"/>
      <c r="B44" s="24" t="s">
        <v>37</v>
      </c>
      <c r="C44" s="55">
        <v>0</v>
      </c>
      <c r="D44" s="55">
        <v>0</v>
      </c>
      <c r="E44" s="55">
        <v>0</v>
      </c>
      <c r="F44" s="55">
        <v>0</v>
      </c>
    </row>
    <row r="45" spans="1:6" ht="14">
      <c r="A45" s="15"/>
      <c r="B45" s="15"/>
      <c r="C45" s="53"/>
      <c r="D45" s="54"/>
      <c r="E45" s="54"/>
      <c r="F45" s="54"/>
    </row>
    <row r="46" spans="1:6" ht="14">
      <c r="A46" s="19" t="s">
        <v>38</v>
      </c>
      <c r="B46" s="19"/>
      <c r="C46" s="43">
        <f t="shared" ref="C46:F46" si="6">SUM(C47,C50,C52,C54,C57)</f>
        <v>2126.5300000000002</v>
      </c>
      <c r="D46" s="43">
        <f t="shared" si="6"/>
        <v>0</v>
      </c>
      <c r="E46" s="43">
        <f t="shared" si="6"/>
        <v>0</v>
      </c>
      <c r="F46" s="43">
        <f t="shared" si="6"/>
        <v>0</v>
      </c>
    </row>
    <row r="47" spans="1:6" ht="14">
      <c r="A47" s="15"/>
      <c r="B47" s="22" t="s">
        <v>39</v>
      </c>
      <c r="C47" s="47">
        <f t="shared" ref="C47:E47" si="7">SUM(C48:C49)</f>
        <v>0</v>
      </c>
      <c r="D47" s="47">
        <f t="shared" si="7"/>
        <v>0</v>
      </c>
      <c r="E47" s="47">
        <f t="shared" si="7"/>
        <v>0</v>
      </c>
      <c r="F47" s="47">
        <f>SUM(F48:F49)</f>
        <v>0</v>
      </c>
    </row>
    <row r="48" spans="1:6" ht="14">
      <c r="A48" s="15"/>
      <c r="B48" s="23" t="s">
        <v>36</v>
      </c>
      <c r="C48" s="47">
        <v>0</v>
      </c>
      <c r="D48" s="47">
        <v>0</v>
      </c>
      <c r="E48" s="47">
        <v>0</v>
      </c>
      <c r="F48" s="47">
        <v>0</v>
      </c>
    </row>
    <row r="49" spans="1:6" ht="14">
      <c r="A49" s="15"/>
      <c r="B49" s="23" t="s">
        <v>40</v>
      </c>
      <c r="C49" s="47">
        <v>0</v>
      </c>
      <c r="D49" s="47">
        <v>0</v>
      </c>
      <c r="E49" s="47">
        <v>0</v>
      </c>
      <c r="F49" s="47">
        <v>0</v>
      </c>
    </row>
    <row r="50" spans="1:6" ht="14">
      <c r="A50" s="15"/>
      <c r="B50" s="22" t="s">
        <v>35</v>
      </c>
      <c r="C50" s="47">
        <f t="shared" ref="C50:F50" si="8">SUM(C51:C51)</f>
        <v>0</v>
      </c>
      <c r="D50" s="47">
        <f t="shared" si="8"/>
        <v>0</v>
      </c>
      <c r="E50" s="47">
        <f t="shared" si="8"/>
        <v>0</v>
      </c>
      <c r="F50" s="47">
        <f t="shared" si="8"/>
        <v>0</v>
      </c>
    </row>
    <row r="51" spans="1:6" ht="14">
      <c r="A51" s="15"/>
      <c r="B51" s="23" t="s">
        <v>36</v>
      </c>
      <c r="C51" s="47">
        <v>0</v>
      </c>
      <c r="D51" s="47">
        <v>0</v>
      </c>
      <c r="E51" s="47">
        <v>0</v>
      </c>
      <c r="F51" s="47">
        <v>0</v>
      </c>
    </row>
    <row r="52" spans="1:6" ht="14">
      <c r="A52" s="15"/>
      <c r="B52" s="22" t="s">
        <v>41</v>
      </c>
      <c r="C52" s="47">
        <f>SUM(C53:C53)</f>
        <v>2080.44</v>
      </c>
      <c r="D52" s="47">
        <f>SUM(D53:D53)</f>
        <v>0</v>
      </c>
      <c r="E52" s="47">
        <f t="shared" ref="E52:F52" si="9">SUM(E53:E53)</f>
        <v>0</v>
      </c>
      <c r="F52" s="47">
        <f t="shared" si="9"/>
        <v>0</v>
      </c>
    </row>
    <row r="53" spans="1:6" ht="14">
      <c r="A53" s="15"/>
      <c r="B53" s="23" t="s">
        <v>42</v>
      </c>
      <c r="C53" s="47">
        <v>2080.44</v>
      </c>
      <c r="D53" s="47">
        <f>SUM(D54:D54)</f>
        <v>0</v>
      </c>
      <c r="E53" s="47">
        <v>0</v>
      </c>
      <c r="F53" s="47">
        <v>0</v>
      </c>
    </row>
    <row r="54" spans="1:6" ht="14">
      <c r="A54" s="15"/>
      <c r="B54" s="22" t="s">
        <v>43</v>
      </c>
      <c r="C54" s="47">
        <f t="shared" ref="C54:F54" si="10">SUM(C55:C56)</f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</row>
    <row r="55" spans="1:6" ht="14">
      <c r="A55" s="15"/>
      <c r="B55" s="23" t="s">
        <v>44</v>
      </c>
      <c r="C55" s="47">
        <v>0</v>
      </c>
      <c r="D55" s="47">
        <v>0</v>
      </c>
      <c r="E55" s="47">
        <v>0</v>
      </c>
      <c r="F55" s="47">
        <v>0</v>
      </c>
    </row>
    <row r="56" spans="1:6" ht="14">
      <c r="A56" s="15"/>
      <c r="B56" s="23" t="s">
        <v>45</v>
      </c>
      <c r="C56" s="47">
        <v>0</v>
      </c>
      <c r="D56" s="47">
        <v>0</v>
      </c>
      <c r="E56" s="47">
        <v>0</v>
      </c>
      <c r="F56" s="47">
        <v>0</v>
      </c>
    </row>
    <row r="57" spans="1:6" ht="14">
      <c r="A57" s="15"/>
      <c r="B57" s="22" t="s">
        <v>37</v>
      </c>
      <c r="C57" s="56">
        <v>46.09</v>
      </c>
      <c r="D57" s="56">
        <v>0</v>
      </c>
      <c r="E57" s="56">
        <v>0</v>
      </c>
      <c r="F57" s="56">
        <v>0</v>
      </c>
    </row>
    <row r="58" spans="1:6" ht="14">
      <c r="A58" s="15"/>
      <c r="B58" s="22" t="s">
        <v>46</v>
      </c>
      <c r="C58" s="56">
        <v>0</v>
      </c>
      <c r="D58" s="56">
        <v>0</v>
      </c>
      <c r="E58" s="56">
        <v>0</v>
      </c>
      <c r="F58" s="56">
        <v>0</v>
      </c>
    </row>
    <row r="59" spans="1:6" ht="14">
      <c r="A59" s="25" t="s">
        <v>47</v>
      </c>
      <c r="B59" s="25"/>
      <c r="C59" s="57" t="e">
        <f t="shared" ref="C59:F59" si="11">C31+C40</f>
        <v>#REF!</v>
      </c>
      <c r="D59" s="57" t="e">
        <f t="shared" si="11"/>
        <v>#REF!</v>
      </c>
      <c r="E59" s="57" t="e">
        <f t="shared" si="11"/>
        <v>#REF!</v>
      </c>
      <c r="F59" s="57" t="e">
        <f t="shared" si="11"/>
        <v>#REF!</v>
      </c>
    </row>
    <row r="63" spans="1:6" ht="14">
      <c r="A63" s="26" t="s">
        <v>48</v>
      </c>
    </row>
    <row r="64" spans="1:6">
      <c r="A64" s="27" t="s">
        <v>49</v>
      </c>
      <c r="B64" s="28"/>
      <c r="C64" s="29">
        <v>0</v>
      </c>
      <c r="D64" s="29">
        <v>0</v>
      </c>
      <c r="E64" s="29">
        <v>0</v>
      </c>
      <c r="F64" s="29">
        <v>0</v>
      </c>
    </row>
    <row r="65" spans="1:6">
      <c r="A65" s="27" t="s">
        <v>50</v>
      </c>
      <c r="B65" s="28"/>
      <c r="C65" s="29">
        <f>SUM(C66:C71)</f>
        <v>0</v>
      </c>
      <c r="D65" s="29">
        <f t="shared" ref="D65:F65" si="12">SUM(D66:D71)</f>
        <v>0</v>
      </c>
      <c r="E65" s="29">
        <f t="shared" si="12"/>
        <v>0</v>
      </c>
      <c r="F65" s="29">
        <f t="shared" si="12"/>
        <v>0</v>
      </c>
    </row>
    <row r="66" spans="1:6" ht="14">
      <c r="A66" s="27"/>
      <c r="B66" s="30" t="s">
        <v>51</v>
      </c>
      <c r="C66" s="31">
        <v>0</v>
      </c>
      <c r="D66" s="31">
        <v>0</v>
      </c>
      <c r="E66" s="31">
        <v>0</v>
      </c>
      <c r="F66" s="31">
        <v>0</v>
      </c>
    </row>
    <row r="67" spans="1:6" ht="14">
      <c r="A67" s="27"/>
      <c r="B67" s="30" t="s">
        <v>52</v>
      </c>
      <c r="C67" s="31">
        <v>0</v>
      </c>
      <c r="D67" s="31">
        <v>0</v>
      </c>
      <c r="E67" s="31">
        <v>0</v>
      </c>
      <c r="F67" s="31">
        <v>0</v>
      </c>
    </row>
    <row r="68" spans="1:6" ht="14">
      <c r="A68" s="27"/>
      <c r="B68" s="30" t="s">
        <v>13</v>
      </c>
      <c r="C68" s="31">
        <v>0</v>
      </c>
      <c r="D68" s="31">
        <v>0</v>
      </c>
      <c r="E68" s="31">
        <v>0</v>
      </c>
      <c r="F68" s="31">
        <v>0</v>
      </c>
    </row>
    <row r="69" spans="1:6" ht="14">
      <c r="A69" s="27"/>
      <c r="B69" s="30" t="s">
        <v>14</v>
      </c>
      <c r="C69" s="31">
        <v>0</v>
      </c>
      <c r="D69" s="31">
        <v>0</v>
      </c>
      <c r="E69" s="31">
        <v>0</v>
      </c>
      <c r="F69" s="31">
        <v>0</v>
      </c>
    </row>
    <row r="70" spans="1:6" ht="14">
      <c r="A70" s="27"/>
      <c r="B70" s="30" t="s">
        <v>15</v>
      </c>
      <c r="C70" s="31">
        <v>0</v>
      </c>
      <c r="D70" s="31">
        <v>0</v>
      </c>
      <c r="E70" s="31">
        <v>0</v>
      </c>
      <c r="F70" s="31">
        <v>0</v>
      </c>
    </row>
    <row r="71" spans="1:6" ht="14">
      <c r="B71" s="32" t="s">
        <v>16</v>
      </c>
      <c r="C71" s="31">
        <v>0</v>
      </c>
      <c r="D71" s="31">
        <v>0</v>
      </c>
      <c r="E71" s="31">
        <v>0</v>
      </c>
      <c r="F71" s="31">
        <v>0</v>
      </c>
    </row>
    <row r="74" spans="1:6" ht="14">
      <c r="A74" s="33" t="s">
        <v>53</v>
      </c>
      <c r="B74" s="28"/>
      <c r="C74" s="34"/>
      <c r="D74" s="35"/>
      <c r="E74" s="35"/>
      <c r="F74" s="35"/>
    </row>
    <row r="75" spans="1:6">
      <c r="A75" s="36" t="s">
        <v>29</v>
      </c>
      <c r="B75" s="37"/>
      <c r="C75" s="38" t="e">
        <f>C31</f>
        <v>#REF!</v>
      </c>
      <c r="D75" s="38" t="e">
        <f t="shared" ref="D75:F75" si="13">D31</f>
        <v>#REF!</v>
      </c>
      <c r="E75" s="38" t="e">
        <f t="shared" si="13"/>
        <v>#REF!</v>
      </c>
      <c r="F75" s="38" t="e">
        <f t="shared" si="13"/>
        <v>#REF!</v>
      </c>
    </row>
    <row r="76" spans="1:6">
      <c r="A76" s="36" t="s">
        <v>54</v>
      </c>
      <c r="B76" s="37"/>
      <c r="C76" s="39">
        <f>C43+C48+C51</f>
        <v>50000</v>
      </c>
      <c r="D76" s="39">
        <f>D43+D48+D51</f>
        <v>50000</v>
      </c>
      <c r="E76" s="39">
        <f t="shared" ref="E76:F76" si="14">E43+E48+E51</f>
        <v>50000</v>
      </c>
      <c r="F76" s="39">
        <f t="shared" si="14"/>
        <v>50000</v>
      </c>
    </row>
    <row r="77" spans="1:6">
      <c r="A77" s="36" t="s">
        <v>55</v>
      </c>
      <c r="B77" s="37"/>
      <c r="C77" s="38">
        <f>C44+C49</f>
        <v>0</v>
      </c>
      <c r="D77" s="38">
        <f t="shared" ref="D77:F77" si="15">D44+D49</f>
        <v>0</v>
      </c>
      <c r="E77" s="38">
        <f t="shared" si="15"/>
        <v>0</v>
      </c>
      <c r="F77" s="38">
        <f t="shared" si="15"/>
        <v>0</v>
      </c>
    </row>
    <row r="78" spans="1:6">
      <c r="A78" s="27" t="s">
        <v>54</v>
      </c>
      <c r="B78" s="28"/>
      <c r="C78" s="34" t="e">
        <f>C76/SUM(C$75:C$77)</f>
        <v>#REF!</v>
      </c>
      <c r="D78" s="34" t="e">
        <f>D76/SUM(D$75:D$77)</f>
        <v>#REF!</v>
      </c>
      <c r="E78" s="34" t="e">
        <f>E76/SUM(E$75:E$77)</f>
        <v>#REF!</v>
      </c>
      <c r="F78" s="34" t="e">
        <f>F76/SUM(F$75:F$77)</f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3"/>
  <sheetViews>
    <sheetView topLeftCell="A19" zoomScale="115" zoomScaleNormal="115" zoomScalePageLayoutView="115" workbookViewId="0">
      <selection activeCell="C1" sqref="C1"/>
    </sheetView>
  </sheetViews>
  <sheetFormatPr baseColWidth="10" defaultColWidth="8.83203125" defaultRowHeight="12" x14ac:dyDescent="0"/>
  <cols>
    <col min="1" max="1" width="31.83203125" style="3" customWidth="1"/>
    <col min="2" max="2" width="3.33203125" style="3" customWidth="1"/>
    <col min="3" max="6" width="12.6640625" style="3" customWidth="1"/>
  </cols>
  <sheetData>
    <row r="5" spans="1:6" ht="42">
      <c r="A5" s="58" t="s">
        <v>60</v>
      </c>
      <c r="C5" s="7" t="s">
        <v>8</v>
      </c>
      <c r="D5" s="6" t="s">
        <v>0</v>
      </c>
      <c r="E5" s="6" t="s">
        <v>1</v>
      </c>
      <c r="F5" s="8" t="s">
        <v>2</v>
      </c>
    </row>
    <row r="6" spans="1:6">
      <c r="C6" s="53"/>
      <c r="D6" s="53"/>
      <c r="E6" s="53"/>
      <c r="F6" s="53"/>
    </row>
    <row r="7" spans="1:6">
      <c r="A7" s="59" t="s">
        <v>61</v>
      </c>
      <c r="B7" s="59"/>
      <c r="C7" s="67" t="e">
        <f>#REF!</f>
        <v>#REF!</v>
      </c>
      <c r="D7" s="44" t="e">
        <f>#REF!</f>
        <v>#REF!</v>
      </c>
      <c r="E7" s="44" t="e">
        <f>#REF!</f>
        <v>#REF!</v>
      </c>
      <c r="F7" s="44" t="e">
        <f>#REF!</f>
        <v>#REF!</v>
      </c>
    </row>
    <row r="8" spans="1:6">
      <c r="A8" s="59" t="s">
        <v>3</v>
      </c>
      <c r="B8" s="59"/>
      <c r="C8" s="67" t="e">
        <f>#REF!</f>
        <v>#REF!</v>
      </c>
      <c r="D8" s="67" t="e">
        <f>#REF!</f>
        <v>#REF!</v>
      </c>
      <c r="E8" s="67" t="e">
        <f>#REF!</f>
        <v>#REF!</v>
      </c>
      <c r="F8" s="67" t="e">
        <f>#REF!</f>
        <v>#REF!</v>
      </c>
    </row>
    <row r="9" spans="1:6">
      <c r="A9" s="59" t="s">
        <v>62</v>
      </c>
      <c r="B9" s="59"/>
      <c r="C9" s="67" t="e">
        <f>#REF!</f>
        <v>#REF!</v>
      </c>
      <c r="D9" s="67" t="e">
        <f>#REF!</f>
        <v>#REF!</v>
      </c>
      <c r="E9" s="67" t="e">
        <f>#REF!</f>
        <v>#REF!</v>
      </c>
      <c r="F9" s="67" t="e">
        <f>#REF!</f>
        <v>#REF!</v>
      </c>
    </row>
    <row r="10" spans="1:6">
      <c r="A10" s="59" t="s">
        <v>4</v>
      </c>
      <c r="B10" s="59"/>
      <c r="C10" s="67" t="e">
        <f>#REF!</f>
        <v>#REF!</v>
      </c>
      <c r="D10" s="67" t="e">
        <f>#REF!</f>
        <v>#REF!</v>
      </c>
      <c r="E10" s="67" t="e">
        <f>#REF!</f>
        <v>#REF!</v>
      </c>
      <c r="F10" s="67" t="e">
        <f>#REF!</f>
        <v>#REF!</v>
      </c>
    </row>
    <row r="11" spans="1:6">
      <c r="C11" s="68"/>
      <c r="D11" s="53"/>
      <c r="E11" s="53"/>
      <c r="F11" s="53"/>
    </row>
    <row r="12" spans="1:6" ht="14">
      <c r="A12" s="60" t="s">
        <v>63</v>
      </c>
      <c r="B12" s="4"/>
      <c r="C12" s="69" t="e">
        <f t="shared" ref="C12:F12" si="0">SUM(C7:C10)</f>
        <v>#REF!</v>
      </c>
      <c r="D12" s="69" t="e">
        <f t="shared" si="0"/>
        <v>#REF!</v>
      </c>
      <c r="E12" s="69" t="e">
        <f t="shared" si="0"/>
        <v>#REF!</v>
      </c>
      <c r="F12" s="69" t="e">
        <f t="shared" si="0"/>
        <v>#REF!</v>
      </c>
    </row>
    <row r="13" spans="1:6">
      <c r="C13" s="68"/>
      <c r="D13" s="53"/>
      <c r="E13" s="53"/>
      <c r="F13" s="53"/>
    </row>
    <row r="14" spans="1:6" ht="14">
      <c r="A14" s="4" t="s">
        <v>64</v>
      </c>
      <c r="B14" s="4"/>
      <c r="C14" s="70">
        <f>-(Balans!C8+Balans!C9)</f>
        <v>-954.89</v>
      </c>
      <c r="D14" s="70">
        <f>-(Balans!D8+Balans!D9)</f>
        <v>0</v>
      </c>
      <c r="E14" s="70">
        <f>-(Balans!E8+Balans!E9)</f>
        <v>0</v>
      </c>
      <c r="F14" s="70">
        <f>-(Balans!F8+Balans!F9)</f>
        <v>0</v>
      </c>
    </row>
    <row r="15" spans="1:6">
      <c r="C15" s="53"/>
      <c r="D15" s="53"/>
      <c r="E15" s="53"/>
      <c r="F15" s="53"/>
    </row>
    <row r="16" spans="1:6" ht="14">
      <c r="A16" s="4" t="s">
        <v>65</v>
      </c>
      <c r="B16" s="4"/>
      <c r="C16" s="71" t="e">
        <f>-SUM(C17:C21)</f>
        <v>#REF!</v>
      </c>
      <c r="D16" s="71" t="e">
        <f>-SUM(D17:D21)</f>
        <v>#REF!</v>
      </c>
      <c r="E16" s="71" t="e">
        <f>-SUM(E17:E21)</f>
        <v>#REF!</v>
      </c>
      <c r="F16" s="71" t="e">
        <f>-SUM(F17:F21)</f>
        <v>#REF!</v>
      </c>
    </row>
    <row r="17" spans="1:6">
      <c r="A17" s="61" t="s">
        <v>66</v>
      </c>
      <c r="C17" s="44">
        <v>0</v>
      </c>
      <c r="D17" s="44">
        <v>0</v>
      </c>
      <c r="E17" s="44">
        <v>0</v>
      </c>
      <c r="F17" s="44">
        <v>0</v>
      </c>
    </row>
    <row r="18" spans="1:6">
      <c r="A18" s="61" t="s">
        <v>67</v>
      </c>
      <c r="C18" s="44" t="e">
        <f>Balans!C20+Cashflow!C9-0</f>
        <v>#REF!</v>
      </c>
      <c r="D18" s="44" t="e">
        <f>Balans!D20+Cashflow!D9-Balans!C20</f>
        <v>#REF!</v>
      </c>
      <c r="E18" s="44" t="e">
        <f>Balans!E20+Cashflow!E9-Balans!D20</f>
        <v>#REF!</v>
      </c>
      <c r="F18" s="44" t="e">
        <f>Balans!F20+Cashflow!F9-Balans!E20</f>
        <v>#REF!</v>
      </c>
    </row>
    <row r="19" spans="1:6">
      <c r="A19" s="61" t="s">
        <v>16</v>
      </c>
      <c r="C19" s="44">
        <f>Balans!C25-0</f>
        <v>0</v>
      </c>
      <c r="D19" s="44">
        <f>Balans!D25-Balans!C25</f>
        <v>0</v>
      </c>
      <c r="E19" s="44">
        <f>Balans!E25-Balans!D25</f>
        <v>0</v>
      </c>
      <c r="F19" s="44">
        <f>Balans!F25-Balans!E25</f>
        <v>0</v>
      </c>
    </row>
    <row r="20" spans="1:6">
      <c r="A20" s="61" t="s">
        <v>68</v>
      </c>
      <c r="C20" s="44">
        <f>-Balans!C52+0</f>
        <v>-2080.44</v>
      </c>
      <c r="D20" s="44">
        <f>-Balans!D52+Balans!C52</f>
        <v>2080.44</v>
      </c>
      <c r="E20" s="44">
        <f>-Balans!E52+Balans!D52</f>
        <v>0</v>
      </c>
      <c r="F20" s="44">
        <f>-Balans!F52+Balans!E52</f>
        <v>0</v>
      </c>
    </row>
    <row r="21" spans="1:6">
      <c r="A21" s="61" t="s">
        <v>69</v>
      </c>
      <c r="C21" s="44">
        <f>-(Balans!C54+Balans!C57+Balans!C58)+0</f>
        <v>-46.09</v>
      </c>
      <c r="D21" s="44">
        <f>-(Balans!D54+Balans!D57+Balans!D58)+(Balans!C54+Balans!C57+Balans!C58)</f>
        <v>46.09</v>
      </c>
      <c r="E21" s="44">
        <f>-(Balans!E54+Balans!E57+Balans!E58)+(Balans!D54+Balans!D57+Balans!D58)</f>
        <v>0</v>
      </c>
      <c r="F21" s="44">
        <f>-(Balans!F54+Balans!F57+Balans!F58)+(Balans!E54+Balans!E57+Balans!E58)</f>
        <v>0</v>
      </c>
    </row>
    <row r="22" spans="1:6">
      <c r="C22" s="53"/>
      <c r="D22" s="53"/>
      <c r="E22" s="53"/>
      <c r="F22" s="53"/>
    </row>
    <row r="23" spans="1:6" ht="14">
      <c r="A23" s="62" t="s">
        <v>70</v>
      </c>
      <c r="B23" s="4"/>
      <c r="C23" s="69" t="e">
        <f>C12+C14+C16</f>
        <v>#REF!</v>
      </c>
      <c r="D23" s="69" t="e">
        <f>D12+D14+D16</f>
        <v>#REF!</v>
      </c>
      <c r="E23" s="69" t="e">
        <f>E12+E14+E16</f>
        <v>#REF!</v>
      </c>
      <c r="F23" s="69" t="e">
        <f>F12+F14+F16</f>
        <v>#REF!</v>
      </c>
    </row>
    <row r="24" spans="1:6">
      <c r="C24" s="53"/>
      <c r="D24" s="53"/>
      <c r="E24" s="53"/>
      <c r="F24" s="53"/>
    </row>
    <row r="25" spans="1:6" ht="14">
      <c r="A25" s="63" t="s">
        <v>35</v>
      </c>
      <c r="B25" s="4"/>
      <c r="C25" s="71">
        <f>SUM(C26-C31)</f>
        <v>0</v>
      </c>
      <c r="D25" s="71">
        <f>SUM(D26-D31)</f>
        <v>0</v>
      </c>
      <c r="E25" s="71"/>
      <c r="F25" s="71">
        <f>SUM(F26-F31)</f>
        <v>0</v>
      </c>
    </row>
    <row r="26" spans="1:6" ht="14">
      <c r="A26" s="64" t="s">
        <v>74</v>
      </c>
      <c r="B26" s="65"/>
      <c r="C26" s="72">
        <f>SUM(C27:C30)</f>
        <v>0</v>
      </c>
      <c r="D26" s="72">
        <f>SUM(D27:D30)</f>
        <v>0</v>
      </c>
      <c r="E26" s="72"/>
      <c r="F26" s="72">
        <f>SUM(F27:F30)</f>
        <v>0</v>
      </c>
    </row>
    <row r="27" spans="1:6">
      <c r="A27" s="66" t="s">
        <v>71</v>
      </c>
      <c r="B27" s="15"/>
      <c r="C27" s="44"/>
      <c r="D27" s="44"/>
      <c r="E27" s="44"/>
      <c r="F27" s="44"/>
    </row>
    <row r="28" spans="1:6">
      <c r="A28" s="66" t="s">
        <v>71</v>
      </c>
      <c r="B28" s="15"/>
      <c r="C28" s="44"/>
      <c r="D28" s="44"/>
      <c r="E28" s="44"/>
      <c r="F28" s="44"/>
    </row>
    <row r="29" spans="1:6">
      <c r="A29" s="66"/>
      <c r="C29" s="44"/>
      <c r="D29" s="44"/>
      <c r="E29" s="44"/>
      <c r="F29" s="44"/>
    </row>
    <row r="30" spans="1:6">
      <c r="A30" s="66"/>
      <c r="C30" s="44"/>
      <c r="D30" s="44"/>
      <c r="E30" s="44"/>
      <c r="F30" s="44"/>
    </row>
    <row r="31" spans="1:6" ht="14">
      <c r="A31" s="64" t="s">
        <v>72</v>
      </c>
      <c r="B31" s="65"/>
      <c r="C31" s="72">
        <f>SUM(C32:C35)</f>
        <v>0</v>
      </c>
      <c r="D31" s="72">
        <f>SUM(D32:D35)</f>
        <v>0</v>
      </c>
      <c r="E31" s="72"/>
      <c r="F31" s="72">
        <f>SUM(F32:F35)</f>
        <v>0</v>
      </c>
    </row>
    <row r="32" spans="1:6">
      <c r="A32" s="66" t="s">
        <v>73</v>
      </c>
      <c r="C32" s="44"/>
      <c r="D32" s="44"/>
      <c r="E32" s="44"/>
      <c r="F32" s="67"/>
    </row>
    <row r="33" spans="1:6">
      <c r="A33" s="66" t="s">
        <v>73</v>
      </c>
      <c r="C33" s="44"/>
      <c r="D33" s="44"/>
      <c r="E33" s="44"/>
      <c r="F33" s="67"/>
    </row>
    <row r="34" spans="1:6">
      <c r="A34" s="66"/>
      <c r="C34" s="44"/>
      <c r="D34" s="44"/>
      <c r="E34" s="44"/>
      <c r="F34" s="44"/>
    </row>
    <row r="35" spans="1:6">
      <c r="C35" s="53"/>
      <c r="D35" s="53"/>
      <c r="E35" s="53"/>
      <c r="F35" s="53"/>
    </row>
    <row r="36" spans="1:6">
      <c r="C36" s="53"/>
      <c r="D36" s="53"/>
      <c r="E36" s="53"/>
      <c r="F36" s="53"/>
    </row>
    <row r="37" spans="1:6">
      <c r="C37" s="53"/>
      <c r="D37" s="53"/>
      <c r="E37" s="53"/>
      <c r="F37" s="53"/>
    </row>
    <row r="38" spans="1:6">
      <c r="C38" s="53"/>
      <c r="D38" s="53"/>
      <c r="E38" s="53"/>
      <c r="F38" s="53"/>
    </row>
    <row r="39" spans="1:6">
      <c r="C39" s="53"/>
      <c r="D39" s="53"/>
      <c r="E39" s="53"/>
      <c r="F39" s="53"/>
    </row>
    <row r="40" spans="1:6">
      <c r="C40" s="53"/>
      <c r="D40" s="53"/>
      <c r="E40" s="53"/>
      <c r="F40" s="53"/>
    </row>
    <row r="41" spans="1:6">
      <c r="C41" s="53"/>
      <c r="D41" s="53"/>
      <c r="E41" s="53"/>
      <c r="F41" s="53"/>
    </row>
    <row r="42" spans="1:6">
      <c r="C42" s="53"/>
      <c r="D42" s="53"/>
      <c r="E42" s="53"/>
      <c r="F42" s="53"/>
    </row>
    <row r="43" spans="1:6">
      <c r="C43" s="15"/>
      <c r="D43" s="15"/>
      <c r="E43" s="15"/>
      <c r="F43" s="15"/>
    </row>
    <row r="44" spans="1:6">
      <c r="C44" s="15"/>
      <c r="D44" s="15"/>
      <c r="E44" s="15"/>
      <c r="F44" s="15"/>
    </row>
    <row r="45" spans="1:6">
      <c r="C45" s="15"/>
      <c r="D45" s="15"/>
      <c r="E45" s="15"/>
      <c r="F45" s="15"/>
    </row>
    <row r="46" spans="1:6">
      <c r="C46" s="15"/>
      <c r="D46" s="15"/>
      <c r="E46" s="15"/>
      <c r="F46" s="15"/>
    </row>
    <row r="47" spans="1:6">
      <c r="C47" s="15"/>
      <c r="D47" s="15"/>
      <c r="E47" s="15"/>
      <c r="F47" s="15"/>
    </row>
    <row r="48" spans="1:6">
      <c r="C48" s="15"/>
      <c r="D48" s="15"/>
      <c r="E48" s="15"/>
      <c r="F48" s="15"/>
    </row>
    <row r="49" spans="1:2">
      <c r="B49" s="15"/>
    </row>
    <row r="63" spans="1:2">
      <c r="A63" s="1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Sales</vt:lpstr>
      <vt:lpstr>Costs</vt:lpstr>
      <vt:lpstr>Bottom up </vt:lpstr>
      <vt:lpstr>Leningen</vt:lpstr>
      <vt:lpstr>Forecast - Maand.</vt:lpstr>
      <vt:lpstr>Bus plan</vt:lpstr>
      <vt:lpstr>Balans</vt:lpstr>
      <vt:lpstr>Cashflow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houpe</dc:creator>
  <cp:lastModifiedBy>Ellen Schoenaerts</cp:lastModifiedBy>
  <cp:lastPrinted>2017-08-22T15:05:36Z</cp:lastPrinted>
  <dcterms:created xsi:type="dcterms:W3CDTF">2017-05-28T15:57:02Z</dcterms:created>
  <dcterms:modified xsi:type="dcterms:W3CDTF">2018-08-08T13:35:39Z</dcterms:modified>
</cp:coreProperties>
</file>