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alva\Desktop\BNP Paribas\"/>
    </mc:Choice>
  </mc:AlternateContent>
  <xr:revisionPtr revIDLastSave="0" documentId="13_ncr:1_{C8B1CC4F-A8FF-447A-80BE-66F1BCEF8528}" xr6:coauthVersionLast="40" xr6:coauthVersionMax="40" xr10:uidLastSave="{00000000-0000-0000-0000-000000000000}"/>
  <bookViews>
    <workbookView xWindow="-15" yWindow="-15" windowWidth="14415" windowHeight="4845" activeTab="2" xr2:uid="{00000000-000D-0000-FFFF-FFFF00000000}"/>
  </bookViews>
  <sheets>
    <sheet name="Hypothèses" sheetId="40" r:id="rId1"/>
    <sheet name="Masse salariale" sheetId="36" r:id="rId2"/>
    <sheet name="P&amp;L Mensuel" sheetId="34" r:id="rId3"/>
    <sheet name="P&amp;L Annuel" sheetId="35" r:id="rId4"/>
    <sheet name="Tableau flux de trésorerie" sheetId="37" r:id="rId5"/>
    <sheet name="BFR" sheetId="38" r:id="rId6"/>
    <sheet name="Plan de financement" sheetId="39" r:id="rId7"/>
  </sheets>
  <externalReferences>
    <externalReference r:id="rId8"/>
  </externalReferences>
  <definedNames>
    <definedName name="Besoin_de_financement_avec_15__de_marge_de_sécurité">'Tableau flux de trésorerie'!$B$50</definedName>
    <definedName name="Charges_variables" localSheetId="5">'[1]4. Charges opérationnelles'!#REF!</definedName>
    <definedName name="Charges_variables" localSheetId="6">'[1]4. Charges opérationnelles'!#REF!</definedName>
    <definedName name="Charges_variables" localSheetId="4">'[1]4. Charges opérationnelles'!#REF!</definedName>
    <definedName name="Charges_variables">'[1]4. Charges opérationnelles'!#REF!</definedName>
    <definedName name="Charges_variables_stages_importants" localSheetId="5">'[1]4. Charges opérationnelles'!#REF!</definedName>
    <definedName name="Charges_variables_stages_importants" localSheetId="6">'[1]4. Charges opérationnelles'!#REF!</definedName>
    <definedName name="Charges_variables_stages_importants" localSheetId="4">'[1]4. Charges opérationnelles'!#REF!</definedName>
    <definedName name="Charges_variables_stages_importants">'[1]4. Charges opérationnelles'!#REF!</definedName>
    <definedName name="Choix_de_la_méthode" localSheetId="5">#REF!</definedName>
    <definedName name="Choix_de_la_méthode" localSheetId="6">#REF!</definedName>
    <definedName name="Choix_de_la_méthode" localSheetId="4">#REF!</definedName>
    <definedName name="Choix_de_la_méthode">#REF!</definedName>
    <definedName name="Commission_stage_important" localSheetId="5">'[1]2. Actions commerciales'!#REF!</definedName>
    <definedName name="Commission_stage_important" localSheetId="6">'[1]2. Actions commerciales'!#REF!</definedName>
    <definedName name="Commission_stage_important" localSheetId="4">'[1]2. Actions commerciales'!#REF!</definedName>
    <definedName name="Commission_stage_important">'[1]2. Actions commerciales'!#REF!</definedName>
    <definedName name="Commission_stage_petit" localSheetId="5">'[1]2. Actions commerciales'!#REF!</definedName>
    <definedName name="Commission_stage_petit" localSheetId="6">'[1]2. Actions commerciales'!#REF!</definedName>
    <definedName name="Commission_stage_petit" localSheetId="4">'[1]2. Actions commerciales'!#REF!</definedName>
    <definedName name="Commission_stage_petit">'[1]2. Actions commerciales'!#REF!</definedName>
    <definedName name="d_organisateurs_prenant_l_API" localSheetId="5">'[1]2. Actions commerciales'!#REF!</definedName>
    <definedName name="d_organisateurs_prenant_l_API" localSheetId="6">'[1]2. Actions commerciales'!#REF!</definedName>
    <definedName name="d_organisateurs_prenant_l_API" localSheetId="4">'[1]2. Actions commerciales'!#REF!</definedName>
    <definedName name="d_organisateurs_prenant_l_API">'[1]2. Actions commerciales'!#REF!</definedName>
    <definedName name="de_clients_achetant_tous_les_4_mois" localSheetId="5">'[1]1.1 Hypothèses Digital'!#REF!</definedName>
    <definedName name="de_clients_achetant_tous_les_4_mois" localSheetId="6">'[1]1.1 Hypothèses Digital'!#REF!</definedName>
    <definedName name="de_clients_achetant_tous_les_4_mois" localSheetId="4">'[1]1.1 Hypothèses Digital'!#REF!</definedName>
    <definedName name="de_clients_achetant_tous_les_4_mois">'[1]1.1 Hypothèses Digital'!#REF!</definedName>
    <definedName name="Fidélisation_visteurs_uniques" localSheetId="5">'[1]1.1 Hypothèses Digital'!#REF!</definedName>
    <definedName name="Fidélisation_visteurs_uniques" localSheetId="6">'[1]1.1 Hypothèses Digital'!#REF!</definedName>
    <definedName name="Fidélisation_visteurs_uniques" localSheetId="4">'[1]1.1 Hypothèses Digital'!#REF!</definedName>
    <definedName name="Fidélisation_visteurs_uniques">'[1]1.1 Hypothèses Digital'!#REF!</definedName>
    <definedName name="Frais_abonnement_annuel_API_paiement" localSheetId="5">'[1]2. Actions commerciales'!#REF!</definedName>
    <definedName name="Frais_abonnement_annuel_API_paiement" localSheetId="6">'[1]2. Actions commerciales'!#REF!</definedName>
    <definedName name="Frais_abonnement_annuel_API_paiement" localSheetId="4">'[1]2. Actions commerciales'!#REF!</definedName>
    <definedName name="Frais_abonnement_annuel_API_paiement">'[1]2. Actions commerciales'!#REF!</definedName>
    <definedName name="Frais_de_set_up" localSheetId="5">'[1]2. Actions commerciales'!#REF!</definedName>
    <definedName name="Frais_de_set_up" localSheetId="6">'[1]2. Actions commerciales'!#REF!</definedName>
    <definedName name="Frais_de_set_up" localSheetId="4">'[1]2. Actions commerciales'!#REF!</definedName>
    <definedName name="Frais_de_set_up">'[1]2. Actions commerciales'!#REF!</definedName>
    <definedName name="Marge_brute_In_House" localSheetId="5">'[1]2. Actions commerciales'!#REF!</definedName>
    <definedName name="Marge_brute_In_House" localSheetId="6">'[1]2. Actions commerciales'!#REF!</definedName>
    <definedName name="Marge_brute_In_House" localSheetId="4">'[1]2. Actions commerciales'!#REF!</definedName>
    <definedName name="Marge_brute_In_House">'[1]2. Actions commerciales'!#REF!</definedName>
    <definedName name="Marge_brute_out_of_house" localSheetId="5">'[1]2. Actions commerciales'!#REF!</definedName>
    <definedName name="Marge_brute_out_of_house" localSheetId="6">'[1]2. Actions commerciales'!#REF!</definedName>
    <definedName name="Marge_brute_out_of_house" localSheetId="4">'[1]2. Actions commerciales'!#REF!</definedName>
    <definedName name="Marge_brute_out_of_house">'[1]2. Actions commerciales'!#REF!</definedName>
    <definedName name="Meubles" localSheetId="5">'[1]5. Investissements'!#REF!</definedName>
    <definedName name="Meubles" localSheetId="6">'[1]5. Investissements'!#REF!</definedName>
    <definedName name="Meubles" localSheetId="4">'[1]5. Investissements'!#REF!</definedName>
    <definedName name="Meubles">'[1]5. Investissements'!#REF!</definedName>
    <definedName name="mots_cles_belgique" localSheetId="5">'[1]1.2 Mots clés'!#REF!</definedName>
    <definedName name="mots_cles_belgique" localSheetId="6">'[1]1.2 Mots clés'!#REF!</definedName>
    <definedName name="mots_cles_belgique" localSheetId="4">'[1]1.2 Mots clés'!#REF!</definedName>
    <definedName name="mots_cles_belgique">'[1]1.2 Mots clés'!#REF!</definedName>
    <definedName name="MULTIPLE_CA" localSheetId="5">#REF!</definedName>
    <definedName name="MULTIPLE_CA" localSheetId="6">#REF!</definedName>
    <definedName name="MULTIPLE_CA" localSheetId="4">#REF!</definedName>
    <definedName name="MULTIPLE_CA">#REF!</definedName>
    <definedName name="multiple_ebitda" localSheetId="5">#REF!</definedName>
    <definedName name="multiple_ebitda" localSheetId="6">#REF!</definedName>
    <definedName name="multiple_ebitda" localSheetId="4">#REF!</definedName>
    <definedName name="multiple_ebitda">#REF!</definedName>
    <definedName name="Nombre_d_entreprises_contactées_par_mois___respo_commercial_entreprise" localSheetId="5">'[1]2. Actions commerciales'!#REF!</definedName>
    <definedName name="Nombre_d_entreprises_contactées_par_mois___respo_commercial_entreprise" localSheetId="6">'[1]2. Actions commerciales'!#REF!</definedName>
    <definedName name="Nombre_d_entreprises_contactées_par_mois___respo_commercial_entreprise" localSheetId="4">'[1]2. Actions commerciales'!#REF!</definedName>
    <definedName name="Nombre_d_entreprises_contactées_par_mois___respo_commercial_entreprise">'[1]2. Actions commerciales'!#REF!</definedName>
    <definedName name="Nombre_de_places_moyennes_par_stage" localSheetId="5">'[1]2. Actions commerciales'!#REF!</definedName>
    <definedName name="Nombre_de_places_moyennes_par_stage" localSheetId="6">'[1]2. Actions commerciales'!#REF!</definedName>
    <definedName name="Nombre_de_places_moyennes_par_stage" localSheetId="4">'[1]2. Actions commerciales'!#REF!</definedName>
    <definedName name="Nombre_de_places_moyennes_par_stage">'[1]2. Actions commerciales'!#REF!</definedName>
    <definedName name="Nombre_total_de_clients__Web_et_commercial" localSheetId="5">'[1]2. Actions commerciales'!#REF!</definedName>
    <definedName name="Nombre_total_de_clients__Web_et_commercial" localSheetId="6">'[1]2. Actions commerciales'!#REF!</definedName>
    <definedName name="Nombre_total_de_clients__Web_et_commercial" localSheetId="4">'[1]2. Actions commerciales'!#REF!</definedName>
    <definedName name="Nombre_total_de_clients__Web_et_commercial">'[1]2. Actions commerciales'!#REF!</definedName>
    <definedName name="Panier_moyen_d_un_client_en_Inhouse" localSheetId="5">'[1]2. Actions commerciales'!#REF!</definedName>
    <definedName name="Panier_moyen_d_un_client_en_Inhouse" localSheetId="6">'[1]2. Actions commerciales'!#REF!</definedName>
    <definedName name="Panier_moyen_d_un_client_en_Inhouse" localSheetId="4">'[1]2. Actions commerciales'!#REF!</definedName>
    <definedName name="Panier_moyen_d_un_client_en_Inhouse">'[1]2. Actions commerciales'!#REF!</definedName>
    <definedName name="Panier_moyen_d_un_client_en_Out_of_house" localSheetId="5">'[1]2. Actions commerciales'!#REF!</definedName>
    <definedName name="Panier_moyen_d_un_client_en_Out_of_house" localSheetId="6">'[1]2. Actions commerciales'!#REF!</definedName>
    <definedName name="Panier_moyen_d_un_client_en_Out_of_house" localSheetId="4">'[1]2. Actions commerciales'!#REF!</definedName>
    <definedName name="Panier_moyen_d_un_client_en_Out_of_house">'[1]2. Actions commerciales'!#REF!</definedName>
    <definedName name="Panier_moyen_d_un_client_stage_important" localSheetId="5">'[1]2. Actions commerciales'!#REF!</definedName>
    <definedName name="Panier_moyen_d_un_client_stage_important" localSheetId="6">'[1]2. Actions commerciales'!#REF!</definedName>
    <definedName name="Panier_moyen_d_un_client_stage_important" localSheetId="4">'[1]2. Actions commerciales'!#REF!</definedName>
    <definedName name="Panier_moyen_d_un_client_stage_important">'[1]2. Actions commerciales'!#REF!</definedName>
    <definedName name="Panier_moyen_d_un_client_stage_petit" localSheetId="5">'[1]2. Actions commerciales'!#REF!</definedName>
    <definedName name="Panier_moyen_d_un_client_stage_petit" localSheetId="6">'[1]2. Actions commerciales'!#REF!</definedName>
    <definedName name="Panier_moyen_d_un_client_stage_petit" localSheetId="4">'[1]2. Actions commerciales'!#REF!</definedName>
    <definedName name="Panier_moyen_d_un_client_stage_petit">'[1]2. Actions commerciales'!#REF!</definedName>
    <definedName name="Part_des_investisseurs_au_moment_de_la_revente" localSheetId="5">#REF!</definedName>
    <definedName name="Part_des_investisseurs_au_moment_de_la_revente" localSheetId="6">#REF!</definedName>
    <definedName name="Part_des_investisseurs_au_moment_de_la_revente" localSheetId="4">#REF!</definedName>
    <definedName name="Part_des_investisseurs_au_moment_de_la_revente">#REF!</definedName>
    <definedName name="Position_moyenne_Belgique" localSheetId="5">'[1]1.2 Mots clés'!#REF!</definedName>
    <definedName name="Position_moyenne_Belgique" localSheetId="6">'[1]1.2 Mots clés'!#REF!</definedName>
    <definedName name="Position_moyenne_Belgique" localSheetId="4">'[1]1.2 Mots clés'!#REF!</definedName>
    <definedName name="Position_moyenne_Belgique">'[1]1.2 Mots clés'!#REF!</definedName>
    <definedName name="Proportion_achat_client_stage_important" localSheetId="5">'[1]2. Actions commerciales'!#REF!</definedName>
    <definedName name="Proportion_achat_client_stage_important" localSheetId="6">'[1]2. Actions commerciales'!#REF!</definedName>
    <definedName name="Proportion_achat_client_stage_important" localSheetId="4">'[1]2. Actions commerciales'!#REF!</definedName>
    <definedName name="Proportion_achat_client_stage_important">'[1]2. Actions commerciales'!#REF!</definedName>
    <definedName name="Proportion_achat_In_House" localSheetId="5">'[1]2. Actions commerciales'!#REF!</definedName>
    <definedName name="Proportion_achat_In_House" localSheetId="6">'[1]2. Actions commerciales'!#REF!</definedName>
    <definedName name="Proportion_achat_In_House" localSheetId="4">'[1]2. Actions commerciales'!#REF!</definedName>
    <definedName name="Proportion_achat_In_House">'[1]2. Actions commerciales'!#REF!</definedName>
    <definedName name="Proportion_achat_petit_stage" localSheetId="5">'[1]2. Actions commerciales'!#REF!</definedName>
    <definedName name="Proportion_achat_petit_stage" localSheetId="6">'[1]2. Actions commerciales'!#REF!</definedName>
    <definedName name="Proportion_achat_petit_stage" localSheetId="4">'[1]2. Actions commerciales'!#REF!</definedName>
    <definedName name="Proportion_achat_petit_stage">'[1]2. Actions commerciales'!#REF!</definedName>
    <definedName name="Proportion_d_entreprises_proposant_un_stage" localSheetId="5">'[1]2. Actions commerciales'!#REF!</definedName>
    <definedName name="Proportion_d_entreprises_proposant_un_stage" localSheetId="6">'[1]2. Actions commerciales'!#REF!</definedName>
    <definedName name="Proportion_d_entreprises_proposant_un_stage" localSheetId="4">'[1]2. Actions commerciales'!#REF!</definedName>
    <definedName name="Proportion_d_entreprises_proposant_un_stage">'[1]2. Actions commerciales'!#REF!</definedName>
    <definedName name="Retour_sur_investissement_proposé_annualisé" localSheetId="5">#REF!</definedName>
    <definedName name="Retour_sur_investissement_proposé_annualisé" localSheetId="6">#REF!</definedName>
    <definedName name="Retour_sur_investissement_proposé_annualisé" localSheetId="4">#REF!</definedName>
    <definedName name="Retour_sur_investissement_proposé_annualisé">#REF!</definedName>
    <definedName name="Taux_croissance_salaire" localSheetId="5">'[1]3. Ressources humaines'!#REF!</definedName>
    <definedName name="Taux_croissance_salaire" localSheetId="6">'[1]3. Ressources humaines'!#REF!</definedName>
    <definedName name="Taux_croissance_salaire" localSheetId="4">'[1]3. Ressources humaines'!#REF!</definedName>
    <definedName name="Taux_croissance_salaire">'[1]3. Ressources humaines'!#REF!</definedName>
    <definedName name="Taux_de_fidélisation_des_entreprises_organisatrices_de_stage" localSheetId="5">'[1]2. Actions commerciales'!#REF!</definedName>
    <definedName name="Taux_de_fidélisation_des_entreprises_organisatrices_de_stage" localSheetId="6">'[1]2. Actions commerciales'!#REF!</definedName>
    <definedName name="Taux_de_fidélisation_des_entreprises_organisatrices_de_stage" localSheetId="4">'[1]2. Actions commerciales'!#REF!</definedName>
    <definedName name="Taux_de_fidélisation_des_entreprises_organisatrices_de_stage">'[1]2. Actions commerciales'!#REF!</definedName>
    <definedName name="Taux_de_transformation_commercial" localSheetId="5">'[1]2. Actions commerciales'!#REF!</definedName>
    <definedName name="Taux_de_transformation_commercial" localSheetId="6">'[1]2. Actions commerciales'!#REF!</definedName>
    <definedName name="Taux_de_transformation_commercial" localSheetId="4">'[1]2. Actions commerciales'!#REF!</definedName>
    <definedName name="Taux_de_transformation_commercial">'[1]2. Actions commerciales'!#REF!</definedName>
    <definedName name="Taux_de_transformation_sur_le_site">'[1]1.1 Hypothèses Digital'!$C$28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17" i="34" l="1"/>
  <c r="AI17" i="34"/>
  <c r="W8" i="34"/>
  <c r="X8" i="34" s="1"/>
  <c r="Y8" i="34" s="1"/>
  <c r="Z8" i="34" s="1"/>
  <c r="AA8" i="34" s="1"/>
  <c r="AB8" i="34" s="1"/>
  <c r="AC8" i="34" s="1"/>
  <c r="AD8" i="34" s="1"/>
  <c r="AE8" i="34" s="1"/>
  <c r="AF8" i="34" s="1"/>
  <c r="AG8" i="34" s="1"/>
  <c r="AH8" i="34" s="1"/>
  <c r="AI8" i="34" s="1"/>
  <c r="AJ8" i="34" s="1"/>
  <c r="AK8" i="34" s="1"/>
  <c r="AL8" i="34" s="1"/>
  <c r="AM8" i="34" s="1"/>
  <c r="AN8" i="34" s="1"/>
  <c r="AO8" i="34" s="1"/>
  <c r="AP8" i="34" s="1"/>
  <c r="AQ8" i="34" s="1"/>
  <c r="AR8" i="34" s="1"/>
  <c r="AS8" i="34" s="1"/>
  <c r="AT8" i="34" s="1"/>
  <c r="AU8" i="34" s="1"/>
  <c r="Z7" i="34"/>
  <c r="AA7" i="34" s="1"/>
  <c r="AB7" i="34" s="1"/>
  <c r="AC7" i="34" s="1"/>
  <c r="AD7" i="34" s="1"/>
  <c r="AE7" i="34" s="1"/>
  <c r="AF7" i="34" s="1"/>
  <c r="AG7" i="34" s="1"/>
  <c r="AH7" i="34" s="1"/>
  <c r="AI7" i="34" s="1"/>
  <c r="AJ7" i="34" s="1"/>
  <c r="AK7" i="34" s="1"/>
  <c r="AL7" i="34" s="1"/>
  <c r="AM7" i="34" s="1"/>
  <c r="AN7" i="34" s="1"/>
  <c r="AO7" i="34" s="1"/>
  <c r="AP7" i="34" s="1"/>
  <c r="AQ7" i="34" s="1"/>
  <c r="AR7" i="34" s="1"/>
  <c r="AS7" i="34" s="1"/>
  <c r="AT7" i="34" s="1"/>
  <c r="AU7" i="34" s="1"/>
  <c r="S7" i="34"/>
  <c r="T7" i="34" s="1"/>
  <c r="U7" i="34" s="1"/>
  <c r="V7" i="34" s="1"/>
  <c r="W7" i="34" s="1"/>
  <c r="X7" i="34" s="1"/>
  <c r="L43" i="34" l="1"/>
  <c r="G11" i="40"/>
  <c r="G6" i="40"/>
  <c r="G10" i="40" s="1"/>
  <c r="G5" i="40"/>
  <c r="G9" i="40" s="1"/>
  <c r="AK17" i="34"/>
  <c r="AA17" i="34"/>
  <c r="S17" i="34"/>
  <c r="T17" i="34"/>
  <c r="U17" i="34"/>
  <c r="V17" i="34"/>
  <c r="R17" i="34"/>
  <c r="G12" i="40" l="1"/>
  <c r="D13" i="36"/>
  <c r="E13" i="36" s="1"/>
  <c r="D12" i="36"/>
  <c r="E12" i="36" s="1"/>
  <c r="D11" i="36"/>
  <c r="E11" i="36" s="1"/>
  <c r="D9" i="36"/>
  <c r="E9" i="36" s="1"/>
  <c r="F88" i="34"/>
  <c r="G88" i="34"/>
  <c r="H88" i="34"/>
  <c r="I88" i="34"/>
  <c r="J88" i="34"/>
  <c r="K88" i="34"/>
  <c r="L88" i="34"/>
  <c r="M88" i="34"/>
  <c r="N88" i="34"/>
  <c r="O88" i="34"/>
  <c r="P88" i="34"/>
  <c r="Q88" i="34"/>
  <c r="R88" i="34"/>
  <c r="S88" i="34"/>
  <c r="T88" i="34"/>
  <c r="U88" i="34"/>
  <c r="V88" i="34"/>
  <c r="W88" i="34"/>
  <c r="X88" i="34"/>
  <c r="Y88" i="34"/>
  <c r="E88" i="34"/>
  <c r="F75" i="34"/>
  <c r="G75" i="34"/>
  <c r="H75" i="34"/>
  <c r="I75" i="34"/>
  <c r="J75" i="34"/>
  <c r="K75" i="34"/>
  <c r="L75" i="34"/>
  <c r="M75" i="34"/>
  <c r="N75" i="34"/>
  <c r="O75" i="34"/>
  <c r="P75" i="34"/>
  <c r="Q75" i="34"/>
  <c r="AZ75" i="34"/>
  <c r="BA75" i="34"/>
  <c r="BB75" i="34"/>
  <c r="BC75" i="34"/>
  <c r="BD75" i="34"/>
  <c r="BE75" i="34"/>
  <c r="BF75" i="34"/>
  <c r="BG75" i="34"/>
  <c r="BH75" i="34"/>
  <c r="BI75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D10" i="36"/>
  <c r="E10" i="36" s="1"/>
  <c r="AM11" i="36" s="1"/>
  <c r="O5" i="34"/>
  <c r="P5" i="34"/>
  <c r="Q5" i="34"/>
  <c r="R5" i="34"/>
  <c r="S5" i="34"/>
  <c r="T5" i="34"/>
  <c r="U5" i="34"/>
  <c r="V5" i="34"/>
  <c r="W5" i="34"/>
  <c r="X5" i="34"/>
  <c r="Y5" i="34"/>
  <c r="Z5" i="34"/>
  <c r="AA5" i="34"/>
  <c r="AB5" i="34"/>
  <c r="AC5" i="34"/>
  <c r="AD5" i="34"/>
  <c r="AE5" i="34"/>
  <c r="AF5" i="34"/>
  <c r="AG5" i="34"/>
  <c r="AH5" i="34"/>
  <c r="AI5" i="34"/>
  <c r="AJ5" i="34"/>
  <c r="AK5" i="34"/>
  <c r="AL5" i="34"/>
  <c r="AM5" i="34"/>
  <c r="AN5" i="34"/>
  <c r="AO5" i="34"/>
  <c r="AP5" i="34"/>
  <c r="AQ5" i="34"/>
  <c r="AR5" i="34"/>
  <c r="AS5" i="34"/>
  <c r="AT5" i="34"/>
  <c r="AU5" i="34"/>
  <c r="AV5" i="34"/>
  <c r="AW5" i="34"/>
  <c r="N5" i="34"/>
  <c r="P12" i="34"/>
  <c r="Q12" i="34"/>
  <c r="R12" i="34"/>
  <c r="R18" i="34" s="1"/>
  <c r="S12" i="34"/>
  <c r="S18" i="34" s="1"/>
  <c r="T12" i="34"/>
  <c r="T18" i="34" s="1"/>
  <c r="U12" i="34"/>
  <c r="U18" i="34" s="1"/>
  <c r="V12" i="34"/>
  <c r="V18" i="34" s="1"/>
  <c r="W12" i="34"/>
  <c r="W18" i="34" s="1"/>
  <c r="X12" i="34"/>
  <c r="X18" i="34" s="1"/>
  <c r="Y12" i="34"/>
  <c r="Y18" i="34" s="1"/>
  <c r="Z12" i="34"/>
  <c r="Z18" i="34" s="1"/>
  <c r="AA12" i="34"/>
  <c r="AA18" i="34" s="1"/>
  <c r="AB12" i="34"/>
  <c r="AB18" i="34" s="1"/>
  <c r="AC12" i="34"/>
  <c r="AC18" i="34" s="1"/>
  <c r="AD12" i="34"/>
  <c r="AD18" i="34" s="1"/>
  <c r="AE12" i="34"/>
  <c r="AE18" i="34" s="1"/>
  <c r="AF12" i="34"/>
  <c r="AF18" i="34" s="1"/>
  <c r="AG12" i="34"/>
  <c r="AG18" i="34" s="1"/>
  <c r="AH12" i="34"/>
  <c r="AH18" i="34" s="1"/>
  <c r="AI12" i="34"/>
  <c r="AI18" i="34" s="1"/>
  <c r="AJ12" i="34"/>
  <c r="AJ18" i="34" s="1"/>
  <c r="AK12" i="34"/>
  <c r="AK18" i="34" s="1"/>
  <c r="AL12" i="34"/>
  <c r="AL18" i="34" s="1"/>
  <c r="AM12" i="34"/>
  <c r="AM18" i="34" s="1"/>
  <c r="AN12" i="34"/>
  <c r="AN18" i="34" s="1"/>
  <c r="AO12" i="34"/>
  <c r="AO18" i="34" s="1"/>
  <c r="AP12" i="34"/>
  <c r="AP18" i="34" s="1"/>
  <c r="AQ12" i="34"/>
  <c r="AQ18" i="34" s="1"/>
  <c r="AR12" i="34"/>
  <c r="AR18" i="34" s="1"/>
  <c r="AS12" i="34"/>
  <c r="AS18" i="34" s="1"/>
  <c r="AT12" i="34"/>
  <c r="AT18" i="34" s="1"/>
  <c r="AU12" i="34"/>
  <c r="AU18" i="34" s="1"/>
  <c r="AV12" i="34"/>
  <c r="AV18" i="34" s="1"/>
  <c r="AW12" i="34"/>
  <c r="AW18" i="34" s="1"/>
  <c r="O12" i="34"/>
  <c r="D15" i="40" l="1"/>
  <c r="D13" i="40"/>
  <c r="AZ4" i="34" s="1"/>
  <c r="AF11" i="36"/>
  <c r="AN11" i="36"/>
  <c r="Y11" i="36"/>
  <c r="AO11" i="36"/>
  <c r="AP11" i="36" s="1"/>
  <c r="AQ11" i="36" s="1"/>
  <c r="AR11" i="36" s="1"/>
  <c r="AS11" i="36" s="1"/>
  <c r="AT11" i="36" s="1"/>
  <c r="AU11" i="36" s="1"/>
  <c r="AV11" i="36" s="1"/>
  <c r="AW11" i="36" s="1"/>
  <c r="AX11" i="36" s="1"/>
  <c r="AY11" i="36" s="1"/>
  <c r="AZ11" i="36" s="1"/>
  <c r="BA11" i="36" s="1"/>
  <c r="AH11" i="36"/>
  <c r="AG11" i="36"/>
  <c r="Z11" i="36"/>
  <c r="AA11" i="36"/>
  <c r="AI11" i="36"/>
  <c r="AJ11" i="36"/>
  <c r="AK11" i="36"/>
  <c r="X11" i="36"/>
  <c r="AB11" i="36"/>
  <c r="AC11" i="36"/>
  <c r="V11" i="36"/>
  <c r="AD11" i="36"/>
  <c r="AL11" i="36"/>
  <c r="U11" i="36"/>
  <c r="W11" i="36"/>
  <c r="AE11" i="36"/>
  <c r="AJ13" i="36"/>
  <c r="AF88" i="34" s="1"/>
  <c r="AK13" i="36"/>
  <c r="AG88" i="34" s="1"/>
  <c r="BB12" i="36"/>
  <c r="AX75" i="34" s="1"/>
  <c r="AH12" i="36"/>
  <c r="AD75" i="34" s="1"/>
  <c r="Z12" i="36"/>
  <c r="V75" i="34" s="1"/>
  <c r="AD12" i="36"/>
  <c r="Z75" i="34" s="1"/>
  <c r="AA12" i="36"/>
  <c r="W75" i="34" s="1"/>
  <c r="AI12" i="36"/>
  <c r="AE75" i="34" s="1"/>
  <c r="BC12" i="36"/>
  <c r="AY75" i="34" s="1"/>
  <c r="AD13" i="36"/>
  <c r="Z88" i="34" s="1"/>
  <c r="AL13" i="36"/>
  <c r="AH88" i="34" s="1"/>
  <c r="AB12" i="36"/>
  <c r="X75" i="34" s="1"/>
  <c r="AJ12" i="36"/>
  <c r="AF75" i="34" s="1"/>
  <c r="AE13" i="36"/>
  <c r="AA88" i="34" s="1"/>
  <c r="AM13" i="36"/>
  <c r="AI88" i="34" s="1"/>
  <c r="AC12" i="36"/>
  <c r="Y75" i="34" s="1"/>
  <c r="AK12" i="36"/>
  <c r="AG75" i="34" s="1"/>
  <c r="AF13" i="36"/>
  <c r="AB88" i="34" s="1"/>
  <c r="AN13" i="36"/>
  <c r="AJ88" i="34" s="1"/>
  <c r="R75" i="34"/>
  <c r="AL12" i="36"/>
  <c r="AH75" i="34" s="1"/>
  <c r="AG13" i="36"/>
  <c r="AC88" i="34" s="1"/>
  <c r="AO13" i="36"/>
  <c r="S75" i="34"/>
  <c r="AE12" i="36"/>
  <c r="AA75" i="34" s="1"/>
  <c r="AM12" i="36"/>
  <c r="AI75" i="34" s="1"/>
  <c r="AH13" i="36"/>
  <c r="AD88" i="34" s="1"/>
  <c r="T75" i="34"/>
  <c r="AF12" i="36"/>
  <c r="AB75" i="34" s="1"/>
  <c r="AN12" i="36"/>
  <c r="AJ75" i="34" s="1"/>
  <c r="AI13" i="36"/>
  <c r="AE88" i="34" s="1"/>
  <c r="U75" i="34"/>
  <c r="AG12" i="36"/>
  <c r="AC75" i="34" s="1"/>
  <c r="AO12" i="36"/>
  <c r="AA10" i="36"/>
  <c r="AI10" i="36"/>
  <c r="X10" i="36"/>
  <c r="AH10" i="36"/>
  <c r="AB10" i="36"/>
  <c r="AJ10" i="36"/>
  <c r="AO10" i="36"/>
  <c r="AP10" i="36" s="1"/>
  <c r="AQ10" i="36" s="1"/>
  <c r="AR10" i="36" s="1"/>
  <c r="AS10" i="36" s="1"/>
  <c r="AT10" i="36" s="1"/>
  <c r="AU10" i="36" s="1"/>
  <c r="AV10" i="36" s="1"/>
  <c r="AW10" i="36" s="1"/>
  <c r="AX10" i="36" s="1"/>
  <c r="AY10" i="36" s="1"/>
  <c r="AZ10" i="36" s="1"/>
  <c r="BA10" i="36" s="1"/>
  <c r="Z10" i="36"/>
  <c r="U10" i="36"/>
  <c r="AC10" i="36"/>
  <c r="AK10" i="36"/>
  <c r="AM10" i="36"/>
  <c r="AF10" i="36"/>
  <c r="AG10" i="36"/>
  <c r="V10" i="36"/>
  <c r="AD10" i="36"/>
  <c r="AL10" i="36"/>
  <c r="AE10" i="36"/>
  <c r="AN10" i="36"/>
  <c r="W10" i="36"/>
  <c r="Y10" i="36"/>
  <c r="AX98" i="34"/>
  <c r="AY98" i="34"/>
  <c r="AZ98" i="34"/>
  <c r="BA98" i="34"/>
  <c r="BB98" i="34"/>
  <c r="BC98" i="34"/>
  <c r="BD98" i="34"/>
  <c r="BE98" i="34"/>
  <c r="BF98" i="34"/>
  <c r="BG98" i="34"/>
  <c r="BH98" i="34"/>
  <c r="BI98" i="34"/>
  <c r="E71" i="34"/>
  <c r="E72" i="34"/>
  <c r="E73" i="34"/>
  <c r="E74" i="34"/>
  <c r="E70" i="34"/>
  <c r="E68" i="34" s="1"/>
  <c r="V4" i="34" l="1"/>
  <c r="BD4" i="34"/>
  <c r="AV4" i="34"/>
  <c r="BC4" i="34"/>
  <c r="O4" i="34"/>
  <c r="AE4" i="34"/>
  <c r="AO4" i="34"/>
  <c r="AP4" i="34"/>
  <c r="AQ4" i="34"/>
  <c r="BA4" i="34"/>
  <c r="AY4" i="34"/>
  <c r="AW4" i="34"/>
  <c r="BF4" i="34"/>
  <c r="AA4" i="34"/>
  <c r="Z4" i="34"/>
  <c r="T4" i="34"/>
  <c r="BI4" i="34"/>
  <c r="BH4" i="34"/>
  <c r="U4" i="34"/>
  <c r="AR4" i="34"/>
  <c r="AK4" i="34"/>
  <c r="AD4" i="34"/>
  <c r="W4" i="34"/>
  <c r="AF4" i="34"/>
  <c r="AX4" i="34"/>
  <c r="R4" i="34"/>
  <c r="AM4" i="34"/>
  <c r="Y4" i="34"/>
  <c r="AI4" i="34"/>
  <c r="BG4" i="34"/>
  <c r="P4" i="34"/>
  <c r="N4" i="34"/>
  <c r="AB4" i="34"/>
  <c r="AL4" i="34"/>
  <c r="AU4" i="34"/>
  <c r="AT4" i="34"/>
  <c r="AJ4" i="34"/>
  <c r="Q4" i="34"/>
  <c r="X4" i="34"/>
  <c r="S4" i="34"/>
  <c r="AC4" i="34"/>
  <c r="AS4" i="34"/>
  <c r="AG4" i="34"/>
  <c r="BB4" i="34"/>
  <c r="AH4" i="34"/>
  <c r="AN4" i="34"/>
  <c r="BE4" i="34"/>
  <c r="AP12" i="36"/>
  <c r="AK75" i="34"/>
  <c r="AP13" i="36"/>
  <c r="AK88" i="34"/>
  <c r="AQ12" i="36" l="1"/>
  <c r="AL75" i="34"/>
  <c r="AQ13" i="36"/>
  <c r="AL88" i="34"/>
  <c r="AR12" i="36" l="1"/>
  <c r="AM75" i="34"/>
  <c r="AR13" i="36"/>
  <c r="AM88" i="34"/>
  <c r="AS13" i="36" l="1"/>
  <c r="AN88" i="34"/>
  <c r="AS12" i="36"/>
  <c r="AN75" i="34"/>
  <c r="AT13" i="36" l="1"/>
  <c r="AO88" i="34"/>
  <c r="AT12" i="36"/>
  <c r="AO75" i="34"/>
  <c r="AU12" i="36" l="1"/>
  <c r="AP75" i="34"/>
  <c r="AU13" i="36"/>
  <c r="AP88" i="34"/>
  <c r="AV12" i="36" l="1"/>
  <c r="AQ75" i="34"/>
  <c r="AV13" i="36"/>
  <c r="AQ88" i="34"/>
  <c r="AW12" i="36" l="1"/>
  <c r="AR75" i="34"/>
  <c r="AW13" i="36"/>
  <c r="AR88" i="34"/>
  <c r="AX13" i="36" l="1"/>
  <c r="AS88" i="34"/>
  <c r="AX12" i="36"/>
  <c r="AS75" i="34"/>
  <c r="AY12" i="36" l="1"/>
  <c r="AT75" i="34"/>
  <c r="AY13" i="36"/>
  <c r="AT88" i="34"/>
  <c r="AZ13" i="36" l="1"/>
  <c r="AU88" i="34"/>
  <c r="AZ12" i="36"/>
  <c r="AU75" i="34"/>
  <c r="BA12" i="36" l="1"/>
  <c r="AW75" i="34" s="1"/>
  <c r="AV75" i="34"/>
  <c r="BA13" i="36"/>
  <c r="AW88" i="34" s="1"/>
  <c r="AV88" i="34"/>
  <c r="F74" i="34" l="1"/>
  <c r="G74" i="34"/>
  <c r="H74" i="34"/>
  <c r="I74" i="34"/>
  <c r="J74" i="34"/>
  <c r="K74" i="34"/>
  <c r="L74" i="34"/>
  <c r="M74" i="34"/>
  <c r="N74" i="34"/>
  <c r="O74" i="34"/>
  <c r="P74" i="34"/>
  <c r="AB74" i="34"/>
  <c r="AC74" i="34"/>
  <c r="AE74" i="34"/>
  <c r="AW74" i="34"/>
  <c r="AJ74" i="34"/>
  <c r="AI74" i="34"/>
  <c r="AH74" i="34"/>
  <c r="AG74" i="34"/>
  <c r="AF74" i="34"/>
  <c r="AD74" i="34"/>
  <c r="AA74" i="34"/>
  <c r="Z74" i="34"/>
  <c r="Y74" i="34"/>
  <c r="X74" i="34"/>
  <c r="W74" i="34"/>
  <c r="V74" i="34"/>
  <c r="U74" i="34"/>
  <c r="T74" i="34"/>
  <c r="S74" i="34"/>
  <c r="R74" i="34"/>
  <c r="Q74" i="34"/>
  <c r="AS74" i="34" l="1"/>
  <c r="AK74" i="34"/>
  <c r="AP74" i="34"/>
  <c r="AO74" i="34"/>
  <c r="AR74" i="34"/>
  <c r="AV74" i="34"/>
  <c r="AN74" i="34"/>
  <c r="AQ74" i="34"/>
  <c r="AU74" i="34"/>
  <c r="AM74" i="34"/>
  <c r="AT74" i="34"/>
  <c r="AL74" i="34"/>
  <c r="T9" i="36" l="1"/>
  <c r="P72" i="34" s="1"/>
  <c r="AB9" i="36"/>
  <c r="X72" i="34" s="1"/>
  <c r="AJ9" i="36"/>
  <c r="AF72" i="34" s="1"/>
  <c r="AO9" i="36"/>
  <c r="AP9" i="36" s="1"/>
  <c r="AQ9" i="36" s="1"/>
  <c r="AR9" i="36" s="1"/>
  <c r="AS9" i="36" s="1"/>
  <c r="AT9" i="36" s="1"/>
  <c r="AU9" i="36" s="1"/>
  <c r="AV9" i="36" s="1"/>
  <c r="AW9" i="36" s="1"/>
  <c r="AX9" i="36" s="1"/>
  <c r="AY9" i="36" s="1"/>
  <c r="AZ9" i="36" s="1"/>
  <c r="BA9" i="36" s="1"/>
  <c r="AW72" i="34" s="1"/>
  <c r="U9" i="36"/>
  <c r="Q72" i="34" s="1"/>
  <c r="AC9" i="36"/>
  <c r="Y72" i="34" s="1"/>
  <c r="AK9" i="36"/>
  <c r="V9" i="36"/>
  <c r="R72" i="34" s="1"/>
  <c r="AD9" i="36"/>
  <c r="AL9" i="36"/>
  <c r="AH72" i="34" s="1"/>
  <c r="BB9" i="36"/>
  <c r="AG9" i="36"/>
  <c r="AC72" i="34" s="1"/>
  <c r="W9" i="36"/>
  <c r="S72" i="34" s="1"/>
  <c r="AE9" i="36"/>
  <c r="AA72" i="34" s="1"/>
  <c r="AM9" i="36"/>
  <c r="AI72" i="34" s="1"/>
  <c r="BC9" i="36"/>
  <c r="S9" i="36"/>
  <c r="O72" i="34" s="1"/>
  <c r="X9" i="36"/>
  <c r="T72" i="34" s="1"/>
  <c r="AF9" i="36"/>
  <c r="AB72" i="34" s="1"/>
  <c r="AN9" i="36"/>
  <c r="AJ72" i="34" s="1"/>
  <c r="Y9" i="36"/>
  <c r="U72" i="34" s="1"/>
  <c r="Q9" i="36"/>
  <c r="M72" i="34" s="1"/>
  <c r="AA9" i="36"/>
  <c r="W72" i="34" s="1"/>
  <c r="R9" i="36"/>
  <c r="N72" i="34" s="1"/>
  <c r="Z9" i="36"/>
  <c r="V72" i="34" s="1"/>
  <c r="AH9" i="36"/>
  <c r="AD72" i="34" s="1"/>
  <c r="AI9" i="36"/>
  <c r="AE72" i="34" s="1"/>
  <c r="M70" i="34"/>
  <c r="N70" i="34"/>
  <c r="O70" i="34"/>
  <c r="P70" i="34"/>
  <c r="Q70" i="34"/>
  <c r="R70" i="34"/>
  <c r="S70" i="34"/>
  <c r="T70" i="34"/>
  <c r="U70" i="34"/>
  <c r="V70" i="34"/>
  <c r="W70" i="34"/>
  <c r="X70" i="34"/>
  <c r="Y70" i="34"/>
  <c r="Z70" i="34"/>
  <c r="AA70" i="34"/>
  <c r="AB70" i="34"/>
  <c r="AC70" i="34"/>
  <c r="AD70" i="34"/>
  <c r="AE70" i="34"/>
  <c r="AF70" i="34"/>
  <c r="AG70" i="34"/>
  <c r="AH70" i="34"/>
  <c r="AI70" i="34"/>
  <c r="AJ70" i="34"/>
  <c r="AK70" i="34"/>
  <c r="AL70" i="34"/>
  <c r="AM70" i="34"/>
  <c r="AN70" i="34"/>
  <c r="AO70" i="34"/>
  <c r="AP70" i="34"/>
  <c r="AQ70" i="34"/>
  <c r="AR70" i="34"/>
  <c r="M11" i="34"/>
  <c r="K92" i="34"/>
  <c r="B12" i="38"/>
  <c r="F70" i="34"/>
  <c r="F71" i="34"/>
  <c r="F72" i="34"/>
  <c r="F73" i="34"/>
  <c r="G70" i="34"/>
  <c r="G71" i="34"/>
  <c r="G72" i="34"/>
  <c r="G73" i="34"/>
  <c r="H70" i="34"/>
  <c r="H71" i="34"/>
  <c r="H72" i="34"/>
  <c r="H73" i="34"/>
  <c r="I70" i="34"/>
  <c r="I71" i="34"/>
  <c r="I72" i="34"/>
  <c r="I73" i="34"/>
  <c r="J70" i="34"/>
  <c r="J71" i="34"/>
  <c r="J72" i="34"/>
  <c r="J73" i="34"/>
  <c r="K70" i="34"/>
  <c r="K71" i="34"/>
  <c r="K72" i="34"/>
  <c r="K73" i="34"/>
  <c r="L70" i="34"/>
  <c r="L71" i="34"/>
  <c r="L73" i="34"/>
  <c r="M71" i="34"/>
  <c r="M73" i="34"/>
  <c r="AL71" i="34"/>
  <c r="AM71" i="34"/>
  <c r="AN71" i="34"/>
  <c r="AO71" i="34"/>
  <c r="AP71" i="34"/>
  <c r="AQ71" i="34"/>
  <c r="AR71" i="34"/>
  <c r="AS70" i="34"/>
  <c r="AS71" i="34"/>
  <c r="AT70" i="34"/>
  <c r="AT71" i="34"/>
  <c r="AU70" i="34"/>
  <c r="AU71" i="34"/>
  <c r="AV70" i="34"/>
  <c r="AV71" i="34"/>
  <c r="AW70" i="34"/>
  <c r="AW71" i="34"/>
  <c r="AX12" i="34"/>
  <c r="AY12" i="34"/>
  <c r="AZ12" i="34"/>
  <c r="BA12" i="34"/>
  <c r="BB12" i="34"/>
  <c r="BC12" i="34"/>
  <c r="BD12" i="34"/>
  <c r="BE12" i="34"/>
  <c r="BF12" i="34"/>
  <c r="BG12" i="34"/>
  <c r="BH12" i="34"/>
  <c r="BI12" i="34"/>
  <c r="Z71" i="34"/>
  <c r="Z72" i="34"/>
  <c r="AA71" i="34"/>
  <c r="AB71" i="34"/>
  <c r="AC71" i="34"/>
  <c r="AD71" i="34"/>
  <c r="AE71" i="34"/>
  <c r="AF71" i="34"/>
  <c r="AG71" i="34"/>
  <c r="AG72" i="34"/>
  <c r="AH71" i="34"/>
  <c r="AI71" i="34"/>
  <c r="AJ71" i="34"/>
  <c r="AK71" i="34"/>
  <c r="N71" i="34"/>
  <c r="N73" i="34"/>
  <c r="O71" i="34"/>
  <c r="O73" i="34"/>
  <c r="P71" i="34"/>
  <c r="P73" i="34"/>
  <c r="Q71" i="34"/>
  <c r="R71" i="34"/>
  <c r="S71" i="34"/>
  <c r="T71" i="34"/>
  <c r="U71" i="34"/>
  <c r="V71" i="34"/>
  <c r="W71" i="34"/>
  <c r="X71" i="34"/>
  <c r="Y71" i="34"/>
  <c r="K18" i="36"/>
  <c r="L18" i="36"/>
  <c r="M18" i="36"/>
  <c r="N18" i="36"/>
  <c r="O18" i="36"/>
  <c r="S18" i="36"/>
  <c r="T18" i="36"/>
  <c r="J18" i="36"/>
  <c r="Z28" i="37"/>
  <c r="E26" i="37"/>
  <c r="E28" i="37"/>
  <c r="B11" i="37"/>
  <c r="C28" i="37"/>
  <c r="C26" i="37"/>
  <c r="B28" i="37"/>
  <c r="B26" i="37"/>
  <c r="D28" i="37"/>
  <c r="D26" i="37"/>
  <c r="F28" i="37"/>
  <c r="F26" i="37"/>
  <c r="G28" i="37"/>
  <c r="G26" i="37"/>
  <c r="H26" i="37"/>
  <c r="I28" i="37"/>
  <c r="I26" i="37"/>
  <c r="J26" i="37"/>
  <c r="K26" i="37"/>
  <c r="L28" i="37"/>
  <c r="L26" i="37"/>
  <c r="M26" i="37"/>
  <c r="N26" i="37"/>
  <c r="O26" i="37"/>
  <c r="P26" i="37"/>
  <c r="Q26" i="37"/>
  <c r="R26" i="37"/>
  <c r="S26" i="37"/>
  <c r="T26" i="37"/>
  <c r="U28" i="37"/>
  <c r="U26" i="37"/>
  <c r="V26" i="37"/>
  <c r="W26" i="37"/>
  <c r="X26" i="37"/>
  <c r="Y26" i="37"/>
  <c r="Z26" i="37"/>
  <c r="AA26" i="37"/>
  <c r="AB26" i="37"/>
  <c r="AC28" i="37"/>
  <c r="AC26" i="37"/>
  <c r="AD28" i="37"/>
  <c r="AD26" i="37"/>
  <c r="AE26" i="37"/>
  <c r="AF26" i="37"/>
  <c r="AG26" i="37"/>
  <c r="AH26" i="37"/>
  <c r="AI26" i="37"/>
  <c r="AJ26" i="37"/>
  <c r="AK28" i="37"/>
  <c r="AK26" i="37"/>
  <c r="AL26" i="37"/>
  <c r="AM28" i="37"/>
  <c r="AM26" i="37"/>
  <c r="AN26" i="37"/>
  <c r="AO26" i="37"/>
  <c r="AP28" i="37"/>
  <c r="AP26" i="37"/>
  <c r="AQ26" i="37"/>
  <c r="AR26" i="37"/>
  <c r="AS28" i="37"/>
  <c r="AS26" i="37"/>
  <c r="AT26" i="37"/>
  <c r="AU14" i="38"/>
  <c r="AV14" i="38"/>
  <c r="AW14" i="38"/>
  <c r="AX14" i="38"/>
  <c r="AY14" i="38"/>
  <c r="AZ14" i="38"/>
  <c r="BA14" i="38"/>
  <c r="BB14" i="38"/>
  <c r="BC14" i="38"/>
  <c r="BD14" i="38"/>
  <c r="BE14" i="38"/>
  <c r="BF14" i="38"/>
  <c r="BG14" i="38"/>
  <c r="BH14" i="38"/>
  <c r="BI14" i="38"/>
  <c r="AU26" i="37"/>
  <c r="AU24" i="37"/>
  <c r="AV26" i="37"/>
  <c r="AV24" i="37"/>
  <c r="AW26" i="37"/>
  <c r="AW24" i="37"/>
  <c r="AX26" i="37"/>
  <c r="AX24" i="37"/>
  <c r="AY26" i="37"/>
  <c r="AY24" i="37"/>
  <c r="AZ26" i="37"/>
  <c r="AZ24" i="37"/>
  <c r="BA26" i="37"/>
  <c r="BA24" i="37"/>
  <c r="BB26" i="37"/>
  <c r="BB24" i="37"/>
  <c r="BC26" i="37"/>
  <c r="BC24" i="37"/>
  <c r="BD26" i="37"/>
  <c r="BD24" i="37"/>
  <c r="BE26" i="37"/>
  <c r="BE24" i="37"/>
  <c r="BF26" i="37"/>
  <c r="BF24" i="37"/>
  <c r="BG26" i="37"/>
  <c r="BG24" i="37"/>
  <c r="BH26" i="37"/>
  <c r="BH24" i="37"/>
  <c r="BI26" i="37"/>
  <c r="BI24" i="37"/>
  <c r="J3" i="36"/>
  <c r="K3" i="36" s="1"/>
  <c r="L3" i="36" s="1"/>
  <c r="M3" i="36" s="1"/>
  <c r="N3" i="36" s="1"/>
  <c r="O3" i="36" s="1"/>
  <c r="P3" i="36" s="1"/>
  <c r="Q3" i="36" s="1"/>
  <c r="R3" i="36" s="1"/>
  <c r="S3" i="36" s="1"/>
  <c r="T3" i="36" s="1"/>
  <c r="U3" i="36" s="1"/>
  <c r="V3" i="36" s="1"/>
  <c r="W3" i="36" s="1"/>
  <c r="X3" i="36" s="1"/>
  <c r="Y3" i="36" s="1"/>
  <c r="Z3" i="36" s="1"/>
  <c r="AA3" i="36" s="1"/>
  <c r="AB3" i="36" s="1"/>
  <c r="AC3" i="36" s="1"/>
  <c r="AD3" i="36" s="1"/>
  <c r="AE3" i="36" s="1"/>
  <c r="AF3" i="36" s="1"/>
  <c r="AG3" i="36" s="1"/>
  <c r="AH3" i="36" s="1"/>
  <c r="AI3" i="36" s="1"/>
  <c r="AJ3" i="36" s="1"/>
  <c r="AK3" i="36" s="1"/>
  <c r="AL3" i="36" s="1"/>
  <c r="AM3" i="36" s="1"/>
  <c r="AN3" i="36" s="1"/>
  <c r="AO3" i="36" s="1"/>
  <c r="AP3" i="36" s="1"/>
  <c r="AQ3" i="36" s="1"/>
  <c r="AR3" i="36" s="1"/>
  <c r="AS3" i="36" s="1"/>
  <c r="AT3" i="36" s="1"/>
  <c r="AU3" i="36" s="1"/>
  <c r="AV3" i="36" s="1"/>
  <c r="AW3" i="36" s="1"/>
  <c r="AX3" i="36" s="1"/>
  <c r="AY3" i="36" s="1"/>
  <c r="AZ3" i="36" s="1"/>
  <c r="BA3" i="36" s="1"/>
  <c r="BB3" i="36" s="1"/>
  <c r="BC3" i="36" s="1"/>
  <c r="BD3" i="36" s="1"/>
  <c r="BE3" i="36" s="1"/>
  <c r="BF3" i="36" s="1"/>
  <c r="BG3" i="36" s="1"/>
  <c r="BH3" i="36" s="1"/>
  <c r="BI3" i="36" s="1"/>
  <c r="BJ3" i="36" s="1"/>
  <c r="BK3" i="36" s="1"/>
  <c r="BL3" i="36" s="1"/>
  <c r="BM3" i="36" s="1"/>
  <c r="G3" i="36"/>
  <c r="H3" i="36" s="1"/>
  <c r="F3" i="34"/>
  <c r="G3" i="34" s="1"/>
  <c r="H3" i="34" s="1"/>
  <c r="I3" i="34" s="1"/>
  <c r="J3" i="34" s="1"/>
  <c r="K3" i="34" s="1"/>
  <c r="L3" i="34" s="1"/>
  <c r="M3" i="34" s="1"/>
  <c r="N3" i="34" s="1"/>
  <c r="O3" i="34" s="1"/>
  <c r="P3" i="34" s="1"/>
  <c r="Q3" i="34" s="1"/>
  <c r="R3" i="34" s="1"/>
  <c r="S3" i="34" s="1"/>
  <c r="T3" i="34" s="1"/>
  <c r="U3" i="34" s="1"/>
  <c r="V3" i="34" s="1"/>
  <c r="W3" i="34" s="1"/>
  <c r="X3" i="34" s="1"/>
  <c r="Y3" i="34" s="1"/>
  <c r="Z3" i="34" s="1"/>
  <c r="AA3" i="34" s="1"/>
  <c r="AB3" i="34" s="1"/>
  <c r="AC3" i="34" s="1"/>
  <c r="AD3" i="34" s="1"/>
  <c r="AE3" i="34" s="1"/>
  <c r="AF3" i="34" s="1"/>
  <c r="AG3" i="34" s="1"/>
  <c r="AH3" i="34" s="1"/>
  <c r="AI3" i="34" s="1"/>
  <c r="AJ3" i="34" s="1"/>
  <c r="AK3" i="34" s="1"/>
  <c r="AL3" i="34" s="1"/>
  <c r="AM3" i="34" s="1"/>
  <c r="AN3" i="34" s="1"/>
  <c r="AO3" i="34" s="1"/>
  <c r="AP3" i="34" s="1"/>
  <c r="AQ3" i="34" s="1"/>
  <c r="AR3" i="34" s="1"/>
  <c r="AS3" i="34" s="1"/>
  <c r="AT3" i="34" s="1"/>
  <c r="AU3" i="34" s="1"/>
  <c r="AV3" i="34" s="1"/>
  <c r="AW3" i="34" s="1"/>
  <c r="AX3" i="34" s="1"/>
  <c r="AY3" i="34" s="1"/>
  <c r="AZ3" i="34" s="1"/>
  <c r="BA3" i="34" s="1"/>
  <c r="BB3" i="34" s="1"/>
  <c r="BC3" i="34" s="1"/>
  <c r="BD3" i="34" s="1"/>
  <c r="BE3" i="34" s="1"/>
  <c r="BF3" i="34" s="1"/>
  <c r="BG3" i="34" s="1"/>
  <c r="BH3" i="34" s="1"/>
  <c r="BI3" i="34" s="1"/>
  <c r="F32" i="35"/>
  <c r="F35" i="35" s="1"/>
  <c r="F2" i="35"/>
  <c r="F20" i="35" s="1"/>
  <c r="F21" i="35" s="1"/>
  <c r="H10" i="35"/>
  <c r="H9" i="35"/>
  <c r="H8" i="35"/>
  <c r="H7" i="35"/>
  <c r="BI43" i="34"/>
  <c r="BI68" i="34"/>
  <c r="BI92" i="34"/>
  <c r="BH43" i="34"/>
  <c r="BH68" i="34"/>
  <c r="BH92" i="34"/>
  <c r="BG43" i="34"/>
  <c r="BG68" i="34"/>
  <c r="BG92" i="34"/>
  <c r="BF43" i="34"/>
  <c r="BF68" i="34"/>
  <c r="BF92" i="34"/>
  <c r="BE43" i="34"/>
  <c r="BE68" i="34"/>
  <c r="BE92" i="34"/>
  <c r="BD43" i="34"/>
  <c r="BD68" i="34"/>
  <c r="BD92" i="34"/>
  <c r="BC43" i="34"/>
  <c r="BC68" i="34"/>
  <c r="BC92" i="34"/>
  <c r="BB43" i="34"/>
  <c r="BB68" i="34"/>
  <c r="BB92" i="34"/>
  <c r="BA43" i="34"/>
  <c r="BA68" i="34"/>
  <c r="BA92" i="34"/>
  <c r="AZ43" i="34"/>
  <c r="AZ68" i="34"/>
  <c r="AZ92" i="34"/>
  <c r="AY43" i="34"/>
  <c r="AY68" i="34"/>
  <c r="AY92" i="34"/>
  <c r="AX43" i="34"/>
  <c r="AX68" i="34"/>
  <c r="AX92" i="34"/>
  <c r="D43" i="34"/>
  <c r="D68" i="34"/>
  <c r="D92" i="34"/>
  <c r="C43" i="34"/>
  <c r="C68" i="34"/>
  <c r="C92" i="34"/>
  <c r="B4" i="34"/>
  <c r="B43" i="34"/>
  <c r="B68" i="34"/>
  <c r="B92" i="34"/>
  <c r="C3" i="34"/>
  <c r="D3" i="34" s="1"/>
  <c r="BI26" i="34" l="1"/>
  <c r="BI13" i="34"/>
  <c r="BA26" i="34"/>
  <c r="BA13" i="34"/>
  <c r="BH26" i="34"/>
  <c r="BH13" i="34"/>
  <c r="AZ26" i="34"/>
  <c r="AZ13" i="34"/>
  <c r="BG26" i="34"/>
  <c r="BG13" i="34"/>
  <c r="AY26" i="34"/>
  <c r="AY13" i="34"/>
  <c r="BF26" i="34"/>
  <c r="BF13" i="34"/>
  <c r="AX26" i="34"/>
  <c r="AX13" i="34"/>
  <c r="BE26" i="34"/>
  <c r="BE13" i="34"/>
  <c r="BD26" i="34"/>
  <c r="BD13" i="34"/>
  <c r="BC26" i="34"/>
  <c r="BC13" i="34"/>
  <c r="BB26" i="34"/>
  <c r="BB13" i="34"/>
  <c r="AF28" i="37"/>
  <c r="AE28" i="37"/>
  <c r="R28" i="37"/>
  <c r="AH28" i="37"/>
  <c r="N28" i="37"/>
  <c r="BG28" i="37"/>
  <c r="BG40" i="37" s="1"/>
  <c r="AN28" i="37"/>
  <c r="X28" i="37"/>
  <c r="J28" i="37"/>
  <c r="Q28" i="37"/>
  <c r="P18" i="36"/>
  <c r="L72" i="34"/>
  <c r="AY28" i="37"/>
  <c r="AY40" i="37" s="1"/>
  <c r="AB28" i="37"/>
  <c r="AO28" i="37"/>
  <c r="AX28" i="37"/>
  <c r="AX40" i="37" s="1"/>
  <c r="AT28" i="37"/>
  <c r="BA28" i="37"/>
  <c r="O28" i="37"/>
  <c r="Y28" i="37"/>
  <c r="BD28" i="37"/>
  <c r="BD40" i="37" s="1"/>
  <c r="H28" i="37"/>
  <c r="BC28" i="37"/>
  <c r="BC40" i="37" s="1"/>
  <c r="K28" i="37"/>
  <c r="AW28" i="37"/>
  <c r="AW40" i="37" s="1"/>
  <c r="BF28" i="37"/>
  <c r="BF40" i="37" s="1"/>
  <c r="BB28" i="37"/>
  <c r="BB40" i="37" s="1"/>
  <c r="AJ28" i="37"/>
  <c r="BH28" i="37"/>
  <c r="BH40" i="37" s="1"/>
  <c r="AV28" i="37"/>
  <c r="AV40" i="37" s="1"/>
  <c r="AR28" i="37"/>
  <c r="AG28" i="37"/>
  <c r="T28" i="37"/>
  <c r="BE28" i="37"/>
  <c r="BE40" i="37" s="1"/>
  <c r="AZ28" i="37"/>
  <c r="AZ40" i="37" s="1"/>
  <c r="W28" i="37"/>
  <c r="AL28" i="37"/>
  <c r="V28" i="37"/>
  <c r="AQ28" i="37"/>
  <c r="AI28" i="37"/>
  <c r="AA28" i="37"/>
  <c r="S28" i="37"/>
  <c r="BI28" i="37"/>
  <c r="BI40" i="37" s="1"/>
  <c r="AU28" i="37"/>
  <c r="AU40" i="37" s="1"/>
  <c r="P28" i="37"/>
  <c r="M28" i="37"/>
  <c r="BA40" i="37"/>
  <c r="B4" i="38"/>
  <c r="F24" i="35"/>
  <c r="S92" i="34"/>
  <c r="W92" i="34"/>
  <c r="L92" i="34"/>
  <c r="AW92" i="34"/>
  <c r="AD92" i="34"/>
  <c r="T92" i="34"/>
  <c r="AF92" i="34"/>
  <c r="K43" i="34"/>
  <c r="AV15" i="34"/>
  <c r="N15" i="34"/>
  <c r="AO15" i="34"/>
  <c r="AQ15" i="34"/>
  <c r="V15" i="34"/>
  <c r="AV43" i="34"/>
  <c r="AL92" i="34"/>
  <c r="N92" i="34"/>
  <c r="B14" i="37"/>
  <c r="B10" i="37" s="1"/>
  <c r="AU15" i="34"/>
  <c r="AM43" i="34"/>
  <c r="AI92" i="34"/>
  <c r="R15" i="34"/>
  <c r="M92" i="34"/>
  <c r="AT92" i="34"/>
  <c r="AO92" i="34"/>
  <c r="R92" i="34"/>
  <c r="AU92" i="34"/>
  <c r="AP92" i="34"/>
  <c r="AM92" i="34"/>
  <c r="AJ92" i="34"/>
  <c r="AB92" i="34"/>
  <c r="Z15" i="34"/>
  <c r="Y92" i="34"/>
  <c r="U92" i="34"/>
  <c r="O92" i="34"/>
  <c r="I92" i="34"/>
  <c r="V92" i="34"/>
  <c r="G92" i="34"/>
  <c r="AT43" i="34"/>
  <c r="AR92" i="34"/>
  <c r="M43" i="34"/>
  <c r="AS6" i="37"/>
  <c r="AS5" i="37" s="1"/>
  <c r="AS19" i="37" s="1"/>
  <c r="AS18" i="37" s="1"/>
  <c r="AQ92" i="34"/>
  <c r="AH92" i="34"/>
  <c r="X92" i="34"/>
  <c r="F92" i="34"/>
  <c r="AS92" i="34"/>
  <c r="AK43" i="34"/>
  <c r="AE92" i="34"/>
  <c r="Q92" i="34"/>
  <c r="E15" i="34"/>
  <c r="F43" i="34"/>
  <c r="AM15" i="34"/>
  <c r="H92" i="34"/>
  <c r="AJ15" i="34"/>
  <c r="AH15" i="34"/>
  <c r="AH43" i="34"/>
  <c r="AC92" i="34"/>
  <c r="AA43" i="34"/>
  <c r="Z92" i="34"/>
  <c r="S43" i="34"/>
  <c r="P92" i="34"/>
  <c r="O43" i="34"/>
  <c r="E92" i="34"/>
  <c r="AF15" i="34"/>
  <c r="U15" i="34"/>
  <c r="AK92" i="34"/>
  <c r="AC15" i="34"/>
  <c r="AB43" i="34"/>
  <c r="AA92" i="34"/>
  <c r="Y43" i="34"/>
  <c r="J92" i="34"/>
  <c r="V43" i="34"/>
  <c r="AS15" i="34"/>
  <c r="F29" i="35"/>
  <c r="AJ43" i="34"/>
  <c r="AL43" i="34"/>
  <c r="AN43" i="34"/>
  <c r="AG92" i="34"/>
  <c r="AE15" i="34"/>
  <c r="AC43" i="34"/>
  <c r="Y15" i="34"/>
  <c r="W43" i="34"/>
  <c r="H15" i="34"/>
  <c r="AV92" i="34"/>
  <c r="AO43" i="34"/>
  <c r="AE43" i="34"/>
  <c r="U43" i="34"/>
  <c r="T43" i="34"/>
  <c r="Q43" i="34"/>
  <c r="G15" i="34"/>
  <c r="AT15" i="34"/>
  <c r="AQ43" i="34"/>
  <c r="AD43" i="34"/>
  <c r="R43" i="34"/>
  <c r="E43" i="34"/>
  <c r="I43" i="34"/>
  <c r="J15" i="34"/>
  <c r="AR43" i="34"/>
  <c r="AP43" i="34"/>
  <c r="AF43" i="34"/>
  <c r="X43" i="34"/>
  <c r="P43" i="34"/>
  <c r="F15" i="34"/>
  <c r="I15" i="34"/>
  <c r="L15" i="34"/>
  <c r="AW43" i="34"/>
  <c r="AU43" i="34"/>
  <c r="AS43" i="34"/>
  <c r="AN92" i="34"/>
  <c r="Z43" i="34"/>
  <c r="J43" i="34"/>
  <c r="AI43" i="34"/>
  <c r="AG43" i="34"/>
  <c r="AB15" i="34"/>
  <c r="N43" i="34"/>
  <c r="G43" i="34"/>
  <c r="H43" i="34"/>
  <c r="K15" i="34"/>
  <c r="AO72" i="34"/>
  <c r="AQ72" i="34"/>
  <c r="AM72" i="34"/>
  <c r="AU72" i="34"/>
  <c r="AS72" i="34"/>
  <c r="K68" i="34"/>
  <c r="O68" i="34"/>
  <c r="L13" i="38" s="1"/>
  <c r="R18" i="36"/>
  <c r="AK72" i="34"/>
  <c r="AV72" i="34"/>
  <c r="Q18" i="36"/>
  <c r="AT72" i="34"/>
  <c r="AR72" i="34"/>
  <c r="AP72" i="34"/>
  <c r="AN72" i="34"/>
  <c r="AL72" i="34"/>
  <c r="H68" i="34"/>
  <c r="E14" i="37" s="1"/>
  <c r="AE18" i="36"/>
  <c r="T73" i="34"/>
  <c r="T68" i="34" s="1"/>
  <c r="F68" i="34"/>
  <c r="J68" i="34"/>
  <c r="G13" i="38" s="1"/>
  <c r="S73" i="34"/>
  <c r="S68" i="34" s="1"/>
  <c r="Z73" i="34"/>
  <c r="Z68" i="34" s="1"/>
  <c r="AH73" i="34"/>
  <c r="AH68" i="34" s="1"/>
  <c r="AE13" i="38" s="1"/>
  <c r="P68" i="34"/>
  <c r="N68" i="34"/>
  <c r="K14" i="37" s="1"/>
  <c r="Y73" i="34"/>
  <c r="Y68" i="34" s="1"/>
  <c r="G68" i="34"/>
  <c r="X73" i="34"/>
  <c r="X68" i="34" s="1"/>
  <c r="W73" i="34"/>
  <c r="W68" i="34" s="1"/>
  <c r="I68" i="34"/>
  <c r="Y18" i="36"/>
  <c r="M68" i="34"/>
  <c r="L68" i="34"/>
  <c r="AP15" i="34" l="1"/>
  <c r="AQ106" i="34" s="1"/>
  <c r="AD15" i="34"/>
  <c r="AB11" i="37" s="1"/>
  <c r="AB13" i="37" s="1"/>
  <c r="AB15" i="38" s="1"/>
  <c r="Q15" i="34"/>
  <c r="R106" i="34" s="1"/>
  <c r="AK15" i="34"/>
  <c r="AL106" i="34" s="1"/>
  <c r="AG15" i="34"/>
  <c r="AE11" i="37" s="1"/>
  <c r="AE13" i="37" s="1"/>
  <c r="AE15" i="38" s="1"/>
  <c r="AC106" i="34"/>
  <c r="AU106" i="34"/>
  <c r="O15" i="34"/>
  <c r="P106" i="34" s="1"/>
  <c r="P15" i="34"/>
  <c r="N11" i="37" s="1"/>
  <c r="N13" i="37" s="1"/>
  <c r="N15" i="38" s="1"/>
  <c r="S15" i="34"/>
  <c r="T106" i="34" s="1"/>
  <c r="T11" i="37"/>
  <c r="AN15" i="34"/>
  <c r="AL11" i="37" s="1"/>
  <c r="AL13" i="37" s="1"/>
  <c r="AL15" i="38" s="1"/>
  <c r="E18" i="35"/>
  <c r="AR15" i="34"/>
  <c r="AS106" i="34" s="1"/>
  <c r="BC15" i="34"/>
  <c r="BC65" i="34" s="1"/>
  <c r="BC102" i="34" s="1"/>
  <c r="AS17" i="38"/>
  <c r="AF11" i="37"/>
  <c r="AF13" i="37" s="1"/>
  <c r="AF15" i="38" s="1"/>
  <c r="AO11" i="37"/>
  <c r="AO13" i="37" s="1"/>
  <c r="AO15" i="38" s="1"/>
  <c r="AI106" i="34"/>
  <c r="AD106" i="34"/>
  <c r="BA15" i="34"/>
  <c r="BA65" i="34" s="1"/>
  <c r="BA102" i="34" s="1"/>
  <c r="BI15" i="34"/>
  <c r="BI65" i="34" s="1"/>
  <c r="BI102" i="34" s="1"/>
  <c r="AW15" i="34"/>
  <c r="AW65" i="34" s="1"/>
  <c r="AA106" i="34"/>
  <c r="V106" i="34"/>
  <c r="AQ11" i="37"/>
  <c r="AQ13" i="37" s="1"/>
  <c r="AQ15" i="38" s="1"/>
  <c r="B18" i="35"/>
  <c r="BF15" i="34"/>
  <c r="BF65" i="34" s="1"/>
  <c r="BF102" i="34" s="1"/>
  <c r="AT6" i="37"/>
  <c r="AT5" i="37" s="1"/>
  <c r="AT19" i="37" s="1"/>
  <c r="AT18" i="37" s="1"/>
  <c r="AT17" i="38" s="1"/>
  <c r="T15" i="34"/>
  <c r="R11" i="37" s="1"/>
  <c r="R13" i="37" s="1"/>
  <c r="R15" i="38" s="1"/>
  <c r="AG106" i="34"/>
  <c r="AA15" i="34"/>
  <c r="M15" i="34"/>
  <c r="K11" i="37" s="1"/>
  <c r="K13" i="37" s="1"/>
  <c r="K15" i="38" s="1"/>
  <c r="D11" i="37"/>
  <c r="D13" i="37" s="1"/>
  <c r="D15" i="38" s="1"/>
  <c r="AI15" i="34"/>
  <c r="AN106" i="34"/>
  <c r="C18" i="35"/>
  <c r="N11" i="34"/>
  <c r="AL15" i="34"/>
  <c r="AM106" i="34" s="1"/>
  <c r="D18" i="35"/>
  <c r="AC11" i="37"/>
  <c r="AC13" i="37" s="1"/>
  <c r="AC15" i="38" s="1"/>
  <c r="BD15" i="34"/>
  <c r="BD65" i="34" s="1"/>
  <c r="BD102" i="34" s="1"/>
  <c r="AK11" i="37"/>
  <c r="AK13" i="37" s="1"/>
  <c r="AK15" i="38" s="1"/>
  <c r="AW106" i="34"/>
  <c r="BH15" i="34"/>
  <c r="BH65" i="34" s="1"/>
  <c r="BH102" i="34" s="1"/>
  <c r="BE15" i="34"/>
  <c r="BE65" i="34" s="1"/>
  <c r="BE102" i="34" s="1"/>
  <c r="AX15" i="34"/>
  <c r="AX65" i="34" s="1"/>
  <c r="AX102" i="34" s="1"/>
  <c r="B15" i="34"/>
  <c r="B65" i="34" s="1"/>
  <c r="B102" i="34" s="1"/>
  <c r="W106" i="34"/>
  <c r="AF106" i="34"/>
  <c r="O106" i="34"/>
  <c r="G106" i="34"/>
  <c r="H11" i="37"/>
  <c r="H13" i="37" s="1"/>
  <c r="H15" i="38" s="1"/>
  <c r="AY15" i="34"/>
  <c r="AY65" i="34" s="1"/>
  <c r="AY102" i="34" s="1"/>
  <c r="E11" i="37"/>
  <c r="E13" i="37" s="1"/>
  <c r="E15" i="38" s="1"/>
  <c r="Z106" i="34"/>
  <c r="BB15" i="34"/>
  <c r="BB65" i="34" s="1"/>
  <c r="BB102" i="34" s="1"/>
  <c r="W11" i="37"/>
  <c r="W13" i="37" s="1"/>
  <c r="W15" i="38" s="1"/>
  <c r="AR106" i="34"/>
  <c r="BG15" i="34"/>
  <c r="BG65" i="34" s="1"/>
  <c r="BG102" i="34" s="1"/>
  <c r="AZ15" i="34"/>
  <c r="AZ65" i="34" s="1"/>
  <c r="AZ102" i="34" s="1"/>
  <c r="AM11" i="37"/>
  <c r="AM13" i="37" s="1"/>
  <c r="AM15" i="38" s="1"/>
  <c r="F11" i="37"/>
  <c r="F13" i="37" s="1"/>
  <c r="F15" i="38" s="1"/>
  <c r="I106" i="34"/>
  <c r="P11" i="37"/>
  <c r="P13" i="37" s="1"/>
  <c r="P15" i="38" s="1"/>
  <c r="S106" i="34"/>
  <c r="AH11" i="37"/>
  <c r="AH13" i="37" s="1"/>
  <c r="AH15" i="38" s="1"/>
  <c r="J11" i="37"/>
  <c r="J13" i="37" s="1"/>
  <c r="J15" i="38" s="1"/>
  <c r="AT106" i="34"/>
  <c r="L11" i="37"/>
  <c r="L13" i="37" s="1"/>
  <c r="L15" i="38" s="1"/>
  <c r="C16" i="35"/>
  <c r="G11" i="37"/>
  <c r="G13" i="37" s="1"/>
  <c r="G15" i="38" s="1"/>
  <c r="J106" i="34"/>
  <c r="AV106" i="34"/>
  <c r="AS11" i="37"/>
  <c r="AS13" i="37" s="1"/>
  <c r="AS15" i="38" s="1"/>
  <c r="H106" i="34"/>
  <c r="S11" i="37"/>
  <c r="S13" i="37" s="1"/>
  <c r="S15" i="38" s="1"/>
  <c r="L106" i="34"/>
  <c r="AA11" i="37"/>
  <c r="AA13" i="37" s="1"/>
  <c r="AA15" i="38" s="1"/>
  <c r="AV65" i="34"/>
  <c r="AT11" i="37"/>
  <c r="AT13" i="37" s="1"/>
  <c r="AT15" i="38" s="1"/>
  <c r="AK106" i="34"/>
  <c r="D16" i="35"/>
  <c r="X11" i="37"/>
  <c r="X13" i="37" s="1"/>
  <c r="X15" i="38" s="1"/>
  <c r="Z11" i="37"/>
  <c r="Z13" i="37" s="1"/>
  <c r="Z15" i="38" s="1"/>
  <c r="M106" i="34"/>
  <c r="AD11" i="37"/>
  <c r="AD13" i="37" s="1"/>
  <c r="AD15" i="38" s="1"/>
  <c r="C11" i="37"/>
  <c r="C13" i="37" s="1"/>
  <c r="C15" i="38" s="1"/>
  <c r="F106" i="34"/>
  <c r="B16" i="35"/>
  <c r="E16" i="35"/>
  <c r="AP106" i="34"/>
  <c r="AR11" i="37"/>
  <c r="AR13" i="37" s="1"/>
  <c r="AR15" i="38" s="1"/>
  <c r="K106" i="34"/>
  <c r="I11" i="37"/>
  <c r="I13" i="37" s="1"/>
  <c r="I15" i="38" s="1"/>
  <c r="AA18" i="36"/>
  <c r="AL18" i="36"/>
  <c r="G14" i="37"/>
  <c r="G14" i="38" s="1"/>
  <c r="L14" i="37"/>
  <c r="H14" i="37"/>
  <c r="H14" i="38" s="1"/>
  <c r="U73" i="34"/>
  <c r="U68" i="34" s="1"/>
  <c r="R14" i="37" s="1"/>
  <c r="H13" i="38"/>
  <c r="Q13" i="38"/>
  <c r="Q14" i="37"/>
  <c r="Q14" i="38" s="1"/>
  <c r="E13" i="38"/>
  <c r="B23" i="35"/>
  <c r="AB18" i="36"/>
  <c r="C13" i="38"/>
  <c r="W18" i="36"/>
  <c r="D13" i="38"/>
  <c r="F14" i="37"/>
  <c r="F14" i="38" s="1"/>
  <c r="C14" i="37"/>
  <c r="C14" i="38" s="1"/>
  <c r="AD18" i="36"/>
  <c r="P14" i="37"/>
  <c r="P13" i="38"/>
  <c r="AA73" i="34"/>
  <c r="AA68" i="34" s="1"/>
  <c r="X14" i="37" s="1"/>
  <c r="AC18" i="36"/>
  <c r="F13" i="38"/>
  <c r="X18" i="36"/>
  <c r="D14" i="37"/>
  <c r="D14" i="38" s="1"/>
  <c r="W14" i="37"/>
  <c r="W14" i="38" s="1"/>
  <c r="W13" i="38"/>
  <c r="U14" i="37"/>
  <c r="U13" i="38"/>
  <c r="T14" i="37"/>
  <c r="T13" i="38"/>
  <c r="M14" i="37"/>
  <c r="M14" i="38" s="1"/>
  <c r="Q73" i="34"/>
  <c r="Q68" i="34" s="1"/>
  <c r="N14" i="37" s="1"/>
  <c r="U18" i="36"/>
  <c r="M13" i="38"/>
  <c r="AK18" i="36"/>
  <c r="AG73" i="34"/>
  <c r="AG68" i="34" s="1"/>
  <c r="AE14" i="37"/>
  <c r="AE14" i="38" s="1"/>
  <c r="AD73" i="34"/>
  <c r="AD68" i="34" s="1"/>
  <c r="AH18" i="36"/>
  <c r="AF73" i="34"/>
  <c r="AF68" i="34" s="1"/>
  <c r="AJ18" i="36"/>
  <c r="Z18" i="36"/>
  <c r="V73" i="34"/>
  <c r="V68" i="34" s="1"/>
  <c r="K13" i="38"/>
  <c r="AE73" i="34"/>
  <c r="AE68" i="34" s="1"/>
  <c r="AI18" i="36"/>
  <c r="AB73" i="34"/>
  <c r="AB68" i="34" s="1"/>
  <c r="AF18" i="36"/>
  <c r="R73" i="34"/>
  <c r="R68" i="34" s="1"/>
  <c r="V18" i="36"/>
  <c r="I13" i="38"/>
  <c r="I14" i="37"/>
  <c r="AJ73" i="34"/>
  <c r="AJ68" i="34" s="1"/>
  <c r="AN18" i="36"/>
  <c r="AG18" i="36"/>
  <c r="AC73" i="34"/>
  <c r="AC68" i="34" s="1"/>
  <c r="E14" i="38"/>
  <c r="AO18" i="36"/>
  <c r="AK73" i="34"/>
  <c r="AK68" i="34" s="1"/>
  <c r="AM18" i="36"/>
  <c r="AI73" i="34"/>
  <c r="AI68" i="34" s="1"/>
  <c r="AF14" i="37" s="1"/>
  <c r="V13" i="38"/>
  <c r="V14" i="37"/>
  <c r="J13" i="38"/>
  <c r="J14" i="37"/>
  <c r="K14" i="38"/>
  <c r="AI11" i="37" l="1"/>
  <c r="AI13" i="37" s="1"/>
  <c r="AI15" i="38" s="1"/>
  <c r="T13" i="37"/>
  <c r="T15" i="38" s="1"/>
  <c r="T10" i="37"/>
  <c r="C12" i="38"/>
  <c r="N13" i="34"/>
  <c r="O11" i="34" s="1"/>
  <c r="O13" i="34" s="1"/>
  <c r="P11" i="34" s="1"/>
  <c r="AN11" i="37"/>
  <c r="AN13" i="37" s="1"/>
  <c r="AN15" i="38" s="1"/>
  <c r="AH106" i="34"/>
  <c r="M11" i="37"/>
  <c r="M13" i="37" s="1"/>
  <c r="M15" i="38" s="1"/>
  <c r="O11" i="37"/>
  <c r="O13" i="37" s="1"/>
  <c r="O15" i="38" s="1"/>
  <c r="AE106" i="34"/>
  <c r="Q11" i="37"/>
  <c r="Q13" i="37" s="1"/>
  <c r="Q15" i="38" s="1"/>
  <c r="Q106" i="34"/>
  <c r="D6" i="35"/>
  <c r="AG11" i="37"/>
  <c r="AG13" i="37" s="1"/>
  <c r="AG15" i="38" s="1"/>
  <c r="AO106" i="34"/>
  <c r="AX106" i="34"/>
  <c r="AJ11" i="37"/>
  <c r="AJ13" i="37" s="1"/>
  <c r="AJ15" i="38" s="1"/>
  <c r="H18" i="35"/>
  <c r="E6" i="35"/>
  <c r="AP11" i="37"/>
  <c r="AP13" i="37" s="1"/>
  <c r="AP15" i="38" s="1"/>
  <c r="U106" i="34"/>
  <c r="AJ106" i="34"/>
  <c r="B6" i="35"/>
  <c r="N106" i="34"/>
  <c r="AB106" i="34"/>
  <c r="Y11" i="37"/>
  <c r="Y13" i="37" s="1"/>
  <c r="Y15" i="38" s="1"/>
  <c r="H16" i="35"/>
  <c r="N13" i="38"/>
  <c r="X13" i="38"/>
  <c r="R13" i="38"/>
  <c r="L14" i="38"/>
  <c r="C23" i="35"/>
  <c r="T14" i="38"/>
  <c r="P14" i="38"/>
  <c r="AA13" i="38"/>
  <c r="AA14" i="37"/>
  <c r="AB13" i="38"/>
  <c r="AB14" i="37"/>
  <c r="AH13" i="38"/>
  <c r="AH14" i="37"/>
  <c r="Y14" i="37"/>
  <c r="Y13" i="38"/>
  <c r="S13" i="38"/>
  <c r="S14" i="37"/>
  <c r="AD13" i="38"/>
  <c r="AD14" i="37"/>
  <c r="D23" i="35"/>
  <c r="Z14" i="37"/>
  <c r="Z13" i="38"/>
  <c r="AF13" i="38"/>
  <c r="AG14" i="37"/>
  <c r="AG13" i="38"/>
  <c r="O13" i="38"/>
  <c r="O14" i="37"/>
  <c r="AC14" i="37"/>
  <c r="AC13" i="38"/>
  <c r="U14" i="38"/>
  <c r="R14" i="38"/>
  <c r="I14" i="38"/>
  <c r="V14" i="38"/>
  <c r="N14" i="38"/>
  <c r="X14" i="38"/>
  <c r="AL73" i="34"/>
  <c r="AL68" i="34" s="1"/>
  <c r="AP18" i="36"/>
  <c r="J14" i="38"/>
  <c r="AF14" i="38"/>
  <c r="P13" i="34" l="1"/>
  <c r="Q11" i="34" s="1"/>
  <c r="D12" i="38"/>
  <c r="AG14" i="38"/>
  <c r="AA14" i="38"/>
  <c r="AD14" i="38"/>
  <c r="S14" i="38"/>
  <c r="AH14" i="38"/>
  <c r="AI13" i="38"/>
  <c r="AI14" i="37"/>
  <c r="AC14" i="38"/>
  <c r="Y14" i="38"/>
  <c r="O14" i="38"/>
  <c r="Z14" i="38"/>
  <c r="AB14" i="38"/>
  <c r="AQ18" i="36"/>
  <c r="AM73" i="34"/>
  <c r="AM68" i="34" s="1"/>
  <c r="Q13" i="34" l="1"/>
  <c r="R11" i="34" s="1"/>
  <c r="E12" i="38"/>
  <c r="AJ13" i="38"/>
  <c r="AJ14" i="37"/>
  <c r="AI14" i="38"/>
  <c r="AN73" i="34"/>
  <c r="AN68" i="34" s="1"/>
  <c r="AR18" i="36"/>
  <c r="R13" i="34" l="1"/>
  <c r="S11" i="34" s="1"/>
  <c r="F12" i="38"/>
  <c r="AJ14" i="38"/>
  <c r="AK13" i="38"/>
  <c r="AK14" i="37"/>
  <c r="AO73" i="34"/>
  <c r="AO68" i="34" s="1"/>
  <c r="AS18" i="36"/>
  <c r="S13" i="34" l="1"/>
  <c r="T11" i="34" s="1"/>
  <c r="G12" i="38"/>
  <c r="AL13" i="38"/>
  <c r="AL14" i="37"/>
  <c r="AK14" i="38"/>
  <c r="AT18" i="36"/>
  <c r="AP73" i="34"/>
  <c r="AP68" i="34" s="1"/>
  <c r="T13" i="34" l="1"/>
  <c r="U11" i="34" s="1"/>
  <c r="U13" i="34" s="1"/>
  <c r="V11" i="34" s="1"/>
  <c r="V13" i="34" s="1"/>
  <c r="W11" i="34" s="1"/>
  <c r="W13" i="34" s="1"/>
  <c r="X11" i="34" s="1"/>
  <c r="H12" i="38"/>
  <c r="AL14" i="38"/>
  <c r="AM13" i="38"/>
  <c r="AM14" i="37"/>
  <c r="AU18" i="36"/>
  <c r="AQ73" i="34"/>
  <c r="AQ68" i="34" s="1"/>
  <c r="I12" i="38" l="1"/>
  <c r="AN13" i="38"/>
  <c r="AN14" i="37"/>
  <c r="AM14" i="38"/>
  <c r="AR73" i="34"/>
  <c r="AR68" i="34" s="1"/>
  <c r="AV18" i="36"/>
  <c r="J12" i="38" l="1"/>
  <c r="K12" i="38" s="1"/>
  <c r="AN14" i="38"/>
  <c r="AO14" i="37"/>
  <c r="AO13" i="38"/>
  <c r="AW18" i="36"/>
  <c r="AS73" i="34"/>
  <c r="AS68" i="34" s="1"/>
  <c r="L12" i="38" l="1"/>
  <c r="AP13" i="38"/>
  <c r="AP14" i="37"/>
  <c r="AO14" i="38"/>
  <c r="AT73" i="34"/>
  <c r="AT68" i="34" s="1"/>
  <c r="AX18" i="36"/>
  <c r="M12" i="38" l="1"/>
  <c r="AQ14" i="37"/>
  <c r="AQ13" i="38"/>
  <c r="AP14" i="38"/>
  <c r="AY18" i="36"/>
  <c r="AU73" i="34"/>
  <c r="AU68" i="34" s="1"/>
  <c r="N12" i="38" l="1"/>
  <c r="AR13" i="38"/>
  <c r="AR14" i="37"/>
  <c r="AQ14" i="38"/>
  <c r="AV73" i="34"/>
  <c r="AV68" i="34" s="1"/>
  <c r="AZ18" i="36"/>
  <c r="O12" i="38" l="1"/>
  <c r="AR14" i="38"/>
  <c r="AS14" i="37"/>
  <c r="AV102" i="34"/>
  <c r="AS13" i="38"/>
  <c r="AW73" i="34"/>
  <c r="AW68" i="34" s="1"/>
  <c r="BA18" i="36"/>
  <c r="P12" i="38" l="1"/>
  <c r="Q12" i="38" s="1"/>
  <c r="AT13" i="38"/>
  <c r="AW102" i="34"/>
  <c r="AT14" i="37"/>
  <c r="E23" i="35"/>
  <c r="AS14" i="38"/>
  <c r="AT14" i="38" l="1"/>
  <c r="H23" i="35"/>
  <c r="R12" i="38"/>
  <c r="S12" i="38" l="1"/>
  <c r="T12" i="38" l="1"/>
  <c r="C4" i="34" l="1"/>
  <c r="D4" i="34"/>
  <c r="I65" i="34"/>
  <c r="I102" i="34" s="1"/>
  <c r="K65" i="34"/>
  <c r="K102" i="34" s="1"/>
  <c r="O6" i="37"/>
  <c r="O5" i="37" s="1"/>
  <c r="S6" i="37"/>
  <c r="S5" i="37" s="1"/>
  <c r="AB6" i="37"/>
  <c r="AB5" i="37" s="1"/>
  <c r="AE6" i="37"/>
  <c r="AE5" i="37" s="1"/>
  <c r="C6" i="37"/>
  <c r="C5" i="37" s="1"/>
  <c r="Z6" i="37"/>
  <c r="Z5" i="37" s="1"/>
  <c r="AK6" i="37"/>
  <c r="AK5" i="37" s="1"/>
  <c r="AM6" i="37"/>
  <c r="AM5" i="37" s="1"/>
  <c r="AO6" i="37"/>
  <c r="AO5" i="37" s="1"/>
  <c r="N6" i="37"/>
  <c r="N5" i="37" s="1"/>
  <c r="X6" i="37"/>
  <c r="X5" i="37" s="1"/>
  <c r="AF6" i="37"/>
  <c r="AF5" i="37" s="1"/>
  <c r="AQ6" i="37"/>
  <c r="AQ5" i="37" s="1"/>
  <c r="W6" i="37"/>
  <c r="W5" i="37" s="1"/>
  <c r="AH6" i="37"/>
  <c r="AH5" i="37" s="1"/>
  <c r="AA6" i="37"/>
  <c r="AA5" i="37" s="1"/>
  <c r="AN6" i="37"/>
  <c r="AN5" i="37" s="1"/>
  <c r="AP6" i="37"/>
  <c r="AP5" i="37" s="1"/>
  <c r="B6" i="37"/>
  <c r="B5" i="37" s="1"/>
  <c r="G6" i="37" l="1"/>
  <c r="G5" i="37" s="1"/>
  <c r="R6" i="37"/>
  <c r="R5" i="37" s="1"/>
  <c r="L6" i="37"/>
  <c r="L5" i="37" s="1"/>
  <c r="L19" i="37" s="1"/>
  <c r="L18" i="37" s="1"/>
  <c r="E3" i="35"/>
  <c r="E2" i="35" s="1"/>
  <c r="E24" i="35" s="1"/>
  <c r="AD6" i="37"/>
  <c r="AD5" i="37" s="1"/>
  <c r="AD19" i="37" s="1"/>
  <c r="AD18" i="37" s="1"/>
  <c r="T6" i="37"/>
  <c r="T5" i="37" s="1"/>
  <c r="T19" i="37" s="1"/>
  <c r="T18" i="37" s="1"/>
  <c r="B3" i="35"/>
  <c r="B2" i="35" s="1"/>
  <c r="AB19" i="37"/>
  <c r="AB18" i="37" s="1"/>
  <c r="X19" i="37"/>
  <c r="X18" i="37" s="1"/>
  <c r="AO19" i="37"/>
  <c r="AO18" i="37" s="1"/>
  <c r="AA19" i="37"/>
  <c r="AA18" i="37" s="1"/>
  <c r="W19" i="37"/>
  <c r="W18" i="37" s="1"/>
  <c r="AK19" i="37"/>
  <c r="AK18" i="37" s="1"/>
  <c r="AN19" i="37"/>
  <c r="AN18" i="37" s="1"/>
  <c r="AE19" i="37"/>
  <c r="AE18" i="37" s="1"/>
  <c r="AM19" i="37"/>
  <c r="AM18" i="37" s="1"/>
  <c r="B19" i="37"/>
  <c r="B18" i="37" s="1"/>
  <c r="C17" i="37" s="1"/>
  <c r="C10" i="37" s="1"/>
  <c r="C24" i="37" s="1"/>
  <c r="C40" i="37" s="1"/>
  <c r="B24" i="37"/>
  <c r="B40" i="37" s="1"/>
  <c r="B41" i="37" s="1"/>
  <c r="B42" i="37" s="1"/>
  <c r="AQ19" i="37"/>
  <c r="AQ18" i="37" s="1"/>
  <c r="N19" i="37"/>
  <c r="N18" i="37" s="1"/>
  <c r="Z19" i="37"/>
  <c r="Z18" i="37" s="1"/>
  <c r="AH19" i="37"/>
  <c r="AH18" i="37" s="1"/>
  <c r="C19" i="37"/>
  <c r="C18" i="37" s="1"/>
  <c r="AP19" i="37"/>
  <c r="AP18" i="37" s="1"/>
  <c r="AF19" i="37"/>
  <c r="AF18" i="37" s="1"/>
  <c r="AB65" i="34"/>
  <c r="AB102" i="34" s="1"/>
  <c r="AJ65" i="34"/>
  <c r="AJ102" i="34" s="1"/>
  <c r="S19" i="37"/>
  <c r="S18" i="37" s="1"/>
  <c r="N65" i="34"/>
  <c r="N102" i="34" s="1"/>
  <c r="K6" i="37"/>
  <c r="K5" i="37" s="1"/>
  <c r="AU65" i="34"/>
  <c r="AU102" i="34" s="1"/>
  <c r="D3" i="35"/>
  <c r="D2" i="35" s="1"/>
  <c r="Y65" i="34"/>
  <c r="Y102" i="34" s="1"/>
  <c r="R19" i="37"/>
  <c r="R18" i="37" s="1"/>
  <c r="AF65" i="34"/>
  <c r="AF102" i="34" s="1"/>
  <c r="AA65" i="34"/>
  <c r="AA102" i="34" s="1"/>
  <c r="AL65" i="34"/>
  <c r="AL102" i="34" s="1"/>
  <c r="AN65" i="34"/>
  <c r="AN102" i="34" s="1"/>
  <c r="O19" i="37"/>
  <c r="O18" i="37" s="1"/>
  <c r="AC65" i="34"/>
  <c r="AC102" i="34" s="1"/>
  <c r="F65" i="34"/>
  <c r="F102" i="34" s="1"/>
  <c r="AD65" i="34"/>
  <c r="AD102" i="34" s="1"/>
  <c r="AK65" i="34"/>
  <c r="AK102" i="34" s="1"/>
  <c r="AI65" i="34"/>
  <c r="AI102" i="34" s="1"/>
  <c r="AP65" i="34"/>
  <c r="AP102" i="34" s="1"/>
  <c r="AE65" i="34"/>
  <c r="AE102" i="34" s="1"/>
  <c r="G19" i="37"/>
  <c r="G18" i="37" s="1"/>
  <c r="Z65" i="34"/>
  <c r="Z102" i="34" s="1"/>
  <c r="AS65" i="34"/>
  <c r="AS102" i="34" s="1"/>
  <c r="Y6" i="37"/>
  <c r="Y5" i="37" s="1"/>
  <c r="AC6" i="37"/>
  <c r="AC5" i="37" s="1"/>
  <c r="Q65" i="34"/>
  <c r="Q102" i="34" s="1"/>
  <c r="AG6" i="37"/>
  <c r="AG5" i="37" s="1"/>
  <c r="AI6" i="37"/>
  <c r="AI5" i="37" s="1"/>
  <c r="AQ65" i="34"/>
  <c r="AQ102" i="34" s="1"/>
  <c r="AH65" i="34"/>
  <c r="AH102" i="34" s="1"/>
  <c r="E65" i="34"/>
  <c r="E102" i="34" s="1"/>
  <c r="AM65" i="34"/>
  <c r="AM102" i="34" s="1"/>
  <c r="AJ6" i="37"/>
  <c r="AJ5" i="37" s="1"/>
  <c r="AT65" i="34"/>
  <c r="AT102" i="34" s="1"/>
  <c r="AL6" i="37"/>
  <c r="AL5" i="37" s="1"/>
  <c r="AO65" i="34"/>
  <c r="AO102" i="34" s="1"/>
  <c r="C3" i="35"/>
  <c r="C2" i="35" s="1"/>
  <c r="AR65" i="34"/>
  <c r="AR102" i="34" s="1"/>
  <c r="AR6" i="37"/>
  <c r="AR5" i="37" s="1"/>
  <c r="V6" i="37"/>
  <c r="V5" i="37" s="1"/>
  <c r="I6" i="37"/>
  <c r="I5" i="37" s="1"/>
  <c r="H65" i="34"/>
  <c r="H102" i="34" s="1"/>
  <c r="L65" i="34"/>
  <c r="L102" i="34" s="1"/>
  <c r="M65" i="34"/>
  <c r="M102" i="34" s="1"/>
  <c r="D6" i="37"/>
  <c r="D5" i="37" s="1"/>
  <c r="Q6" i="37"/>
  <c r="Q5" i="37" s="1"/>
  <c r="U6" i="37"/>
  <c r="U5" i="37" s="1"/>
  <c r="T65" i="34"/>
  <c r="T102" i="34" s="1"/>
  <c r="G65" i="34"/>
  <c r="G102" i="34" s="1"/>
  <c r="F6" i="37"/>
  <c r="F5" i="37" s="1"/>
  <c r="E6" i="37"/>
  <c r="E5" i="37" s="1"/>
  <c r="U65" i="34"/>
  <c r="U102" i="34" s="1"/>
  <c r="H6" i="37"/>
  <c r="H5" i="37" s="1"/>
  <c r="M6" i="37"/>
  <c r="M5" i="37" s="1"/>
  <c r="V65" i="34"/>
  <c r="V102" i="34" s="1"/>
  <c r="O65" i="34"/>
  <c r="O102" i="34" s="1"/>
  <c r="R65" i="34"/>
  <c r="R102" i="34" s="1"/>
  <c r="S65" i="34"/>
  <c r="S102" i="34" s="1"/>
  <c r="AG65" i="34"/>
  <c r="AG102" i="34" s="1"/>
  <c r="J65" i="34"/>
  <c r="J102" i="34" s="1"/>
  <c r="J6" i="37"/>
  <c r="J5" i="37" s="1"/>
  <c r="P6" i="37"/>
  <c r="P5" i="37" s="1"/>
  <c r="P65" i="34"/>
  <c r="P102" i="34" s="1"/>
  <c r="AB17" i="37" l="1"/>
  <c r="AB10" i="37" s="1"/>
  <c r="AB24" i="37" s="1"/>
  <c r="AB40" i="37" s="1"/>
  <c r="AQ17" i="37"/>
  <c r="AQ10" i="37" s="1"/>
  <c r="AQ24" i="37" s="1"/>
  <c r="AQ40" i="37" s="1"/>
  <c r="H2" i="35"/>
  <c r="B20" i="35"/>
  <c r="B28" i="35" s="1"/>
  <c r="E20" i="35"/>
  <c r="E21" i="35" s="1"/>
  <c r="D15" i="34"/>
  <c r="D65" i="34" s="1"/>
  <c r="D102" i="34" s="1"/>
  <c r="AL19" i="37"/>
  <c r="AL18" i="37" s="1"/>
  <c r="AN17" i="37" s="1"/>
  <c r="AN10" i="37" s="1"/>
  <c r="AN24" i="37" s="1"/>
  <c r="AN40" i="37" s="1"/>
  <c r="L17" i="38"/>
  <c r="L4" i="38" s="1"/>
  <c r="AF10" i="37"/>
  <c r="AF24" i="37" s="1"/>
  <c r="AF40" i="37" s="1"/>
  <c r="AE17" i="38"/>
  <c r="AA17" i="38"/>
  <c r="J19" i="37"/>
  <c r="J18" i="37" s="1"/>
  <c r="E19" i="37"/>
  <c r="E18" i="37" s="1"/>
  <c r="D24" i="35"/>
  <c r="D20" i="35"/>
  <c r="AG10" i="37"/>
  <c r="AG24" i="37" s="1"/>
  <c r="AG40" i="37" s="1"/>
  <c r="AF17" i="38"/>
  <c r="N17" i="38"/>
  <c r="N4" i="38" s="1"/>
  <c r="O10" i="37"/>
  <c r="O24" i="37" s="1"/>
  <c r="O40" i="37" s="1"/>
  <c r="U19" i="37"/>
  <c r="U18" i="37" s="1"/>
  <c r="AI10" i="37"/>
  <c r="AI24" i="37" s="1"/>
  <c r="AI40" i="37" s="1"/>
  <c r="AH17" i="38"/>
  <c r="AQ17" i="38"/>
  <c r="AR10" i="37"/>
  <c r="AR24" i="37" s="1"/>
  <c r="AR40" i="37" s="1"/>
  <c r="AO10" i="37"/>
  <c r="AO24" i="37" s="1"/>
  <c r="AO40" i="37" s="1"/>
  <c r="AN17" i="38"/>
  <c r="AP10" i="37"/>
  <c r="AP24" i="37" s="1"/>
  <c r="AP40" i="37" s="1"/>
  <c r="AO17" i="38"/>
  <c r="F19" i="37"/>
  <c r="F18" i="37" s="1"/>
  <c r="Q19" i="37"/>
  <c r="Q18" i="37" s="1"/>
  <c r="S17" i="37" s="1"/>
  <c r="I19" i="37"/>
  <c r="I18" i="37" s="1"/>
  <c r="C24" i="35"/>
  <c r="G17" i="38"/>
  <c r="G4" i="38" s="1"/>
  <c r="H17" i="37"/>
  <c r="H10" i="37" s="1"/>
  <c r="H24" i="37" s="1"/>
  <c r="H40" i="37" s="1"/>
  <c r="R17" i="38"/>
  <c r="R4" i="38" s="1"/>
  <c r="AP17" i="38"/>
  <c r="C15" i="34"/>
  <c r="C65" i="34" s="1"/>
  <c r="C102" i="34" s="1"/>
  <c r="D19" i="37"/>
  <c r="D18" i="37" s="1"/>
  <c r="V19" i="37"/>
  <c r="V18" i="37" s="1"/>
  <c r="AD17" i="38"/>
  <c r="O17" i="38"/>
  <c r="O4" i="38" s="1"/>
  <c r="C41" i="37"/>
  <c r="C42" i="37" s="1"/>
  <c r="D41" i="37" s="1"/>
  <c r="AL10" i="37"/>
  <c r="AL24" i="37" s="1"/>
  <c r="AL40" i="37" s="1"/>
  <c r="AK17" i="38"/>
  <c r="X17" i="38"/>
  <c r="AR19" i="37"/>
  <c r="AR18" i="37" s="1"/>
  <c r="AT17" i="37" s="1"/>
  <c r="AT10" i="37" s="1"/>
  <c r="AT24" i="37" s="1"/>
  <c r="AT40" i="37" s="1"/>
  <c r="T17" i="38"/>
  <c r="T4" i="38" s="1"/>
  <c r="AC19" i="37"/>
  <c r="AC18" i="37" s="1"/>
  <c r="AE17" i="37" s="1"/>
  <c r="AE10" i="37" s="1"/>
  <c r="AE24" i="37" s="1"/>
  <c r="AE40" i="37" s="1"/>
  <c r="D17" i="37"/>
  <c r="D10" i="37" s="1"/>
  <c r="D24" i="37" s="1"/>
  <c r="D40" i="37" s="1"/>
  <c r="C17" i="38"/>
  <c r="C4" i="38" s="1"/>
  <c r="M19" i="37"/>
  <c r="M18" i="37" s="1"/>
  <c r="AI19" i="37"/>
  <c r="AI18" i="37" s="1"/>
  <c r="Y19" i="37"/>
  <c r="Y18" i="37" s="1"/>
  <c r="Y17" i="37" s="1"/>
  <c r="Y10" i="37" s="1"/>
  <c r="Y24" i="37" s="1"/>
  <c r="Y40" i="37" s="1"/>
  <c r="S17" i="38"/>
  <c r="S4" i="38" s="1"/>
  <c r="T24" i="37"/>
  <c r="T40" i="37" s="1"/>
  <c r="Z17" i="38"/>
  <c r="AA10" i="37"/>
  <c r="AA24" i="37" s="1"/>
  <c r="AA40" i="37" s="1"/>
  <c r="AM17" i="38"/>
  <c r="AC10" i="37"/>
  <c r="AC24" i="37" s="1"/>
  <c r="AC40" i="37" s="1"/>
  <c r="AB17" i="38"/>
  <c r="P19" i="37"/>
  <c r="P18" i="37" s="1"/>
  <c r="P17" i="37" s="1"/>
  <c r="H19" i="37"/>
  <c r="H18" i="37" s="1"/>
  <c r="AJ19" i="37"/>
  <c r="AJ18" i="37" s="1"/>
  <c r="AG19" i="37"/>
  <c r="AG18" i="37" s="1"/>
  <c r="AH17" i="37" s="1"/>
  <c r="H3" i="35"/>
  <c r="K19" i="37"/>
  <c r="K18" i="37" s="1"/>
  <c r="W17" i="38"/>
  <c r="X10" i="37"/>
  <c r="X24" i="37" s="1"/>
  <c r="X40" i="37" s="1"/>
  <c r="P10" i="37" l="1"/>
  <c r="P24" i="37" s="1"/>
  <c r="P40" i="37" s="1"/>
  <c r="S10" i="37"/>
  <c r="S24" i="37" s="1"/>
  <c r="S40" i="37" s="1"/>
  <c r="M17" i="37"/>
  <c r="M10" i="37" s="1"/>
  <c r="M24" i="37" s="1"/>
  <c r="M40" i="37" s="1"/>
  <c r="AK17" i="37"/>
  <c r="AK10" i="37" s="1"/>
  <c r="AK24" i="37" s="1"/>
  <c r="AK40" i="37" s="1"/>
  <c r="V17" i="37"/>
  <c r="E28" i="35"/>
  <c r="E29" i="35" s="1"/>
  <c r="W10" i="37"/>
  <c r="W24" i="37" s="1"/>
  <c r="W40" i="37" s="1"/>
  <c r="V17" i="38"/>
  <c r="R10" i="37"/>
  <c r="R24" i="37" s="1"/>
  <c r="R40" i="37" s="1"/>
  <c r="Q17" i="38"/>
  <c r="Q4" i="38" s="1"/>
  <c r="F17" i="38"/>
  <c r="F4" i="38" s="1"/>
  <c r="G17" i="37"/>
  <c r="G10" i="37" s="1"/>
  <c r="G24" i="37" s="1"/>
  <c r="G40" i="37" s="1"/>
  <c r="D21" i="35"/>
  <c r="D28" i="35"/>
  <c r="AC17" i="38"/>
  <c r="AD10" i="37"/>
  <c r="AD24" i="37" s="1"/>
  <c r="AD40" i="37" s="1"/>
  <c r="N10" i="37"/>
  <c r="N24" i="37" s="1"/>
  <c r="N40" i="37" s="1"/>
  <c r="M17" i="38"/>
  <c r="M4" i="38" s="1"/>
  <c r="D42" i="37"/>
  <c r="E41" i="37" s="1"/>
  <c r="E17" i="37"/>
  <c r="E10" i="37" s="1"/>
  <c r="E24" i="37" s="1"/>
  <c r="E40" i="37" s="1"/>
  <c r="D17" i="38"/>
  <c r="D4" i="38" s="1"/>
  <c r="AJ17" i="38"/>
  <c r="H17" i="38"/>
  <c r="H4" i="38" s="1"/>
  <c r="I17" i="37"/>
  <c r="I10" i="37" s="1"/>
  <c r="I24" i="37" s="1"/>
  <c r="I40" i="37" s="1"/>
  <c r="F17" i="37"/>
  <c r="F10" i="37" s="1"/>
  <c r="F24" i="37" s="1"/>
  <c r="F40" i="37" s="1"/>
  <c r="E17" i="38"/>
  <c r="E4" i="38" s="1"/>
  <c r="AI17" i="38"/>
  <c r="AJ10" i="37"/>
  <c r="AJ24" i="37" s="1"/>
  <c r="AJ40" i="37" s="1"/>
  <c r="B32" i="35"/>
  <c r="U17" i="38"/>
  <c r="P17" i="38"/>
  <c r="P4" i="38" s="1"/>
  <c r="Q10" i="37"/>
  <c r="Q24" i="37" s="1"/>
  <c r="Q40" i="37" s="1"/>
  <c r="I17" i="38"/>
  <c r="I4" i="38" s="1"/>
  <c r="J17" i="37"/>
  <c r="J10" i="37" s="1"/>
  <c r="J24" i="37" s="1"/>
  <c r="J40" i="37" s="1"/>
  <c r="AM10" i="37"/>
  <c r="AM24" i="37" s="1"/>
  <c r="AM40" i="37" s="1"/>
  <c r="AL17" i="38"/>
  <c r="L10" i="37"/>
  <c r="L24" i="37" s="1"/>
  <c r="L40" i="37" s="1"/>
  <c r="K17" i="38"/>
  <c r="K4" i="38" s="1"/>
  <c r="AR17" i="38"/>
  <c r="AS10" i="37"/>
  <c r="AS24" i="37" s="1"/>
  <c r="AS40" i="37" s="1"/>
  <c r="AH10" i="37"/>
  <c r="AH24" i="37" s="1"/>
  <c r="AH40" i="37" s="1"/>
  <c r="AG17" i="38"/>
  <c r="Y17" i="38"/>
  <c r="Z10" i="37"/>
  <c r="Z24" i="37" s="1"/>
  <c r="Z40" i="37" s="1"/>
  <c r="J17" i="38"/>
  <c r="J4" i="38" s="1"/>
  <c r="B3" i="39" s="1"/>
  <c r="B6" i="39" s="1"/>
  <c r="K17" i="37"/>
  <c r="K10" i="37" s="1"/>
  <c r="K24" i="37" s="1"/>
  <c r="K40" i="37" s="1"/>
  <c r="E32" i="35" l="1"/>
  <c r="E35" i="35" s="1"/>
  <c r="E42" i="37"/>
  <c r="B35" i="35"/>
  <c r="D29" i="35"/>
  <c r="D32" i="35"/>
  <c r="E39" i="35" l="1"/>
  <c r="E36" i="35"/>
  <c r="D36" i="35"/>
  <c r="D35" i="35"/>
  <c r="C38" i="35"/>
  <c r="B40" i="35"/>
  <c r="F41" i="37"/>
  <c r="F42" i="37" s="1"/>
  <c r="G41" i="37" s="1"/>
  <c r="G42" i="37" s="1"/>
  <c r="H41" i="37" s="1"/>
  <c r="H42" i="37" s="1"/>
  <c r="I41" i="37" s="1"/>
  <c r="I42" i="37" s="1"/>
  <c r="J41" i="37" s="1"/>
  <c r="J42" i="37" s="1"/>
  <c r="B14" i="39" l="1"/>
  <c r="B16" i="39" s="1"/>
  <c r="B18" i="39" s="1"/>
  <c r="B20" i="39" s="1"/>
  <c r="C19" i="39" s="1"/>
  <c r="K41" i="37"/>
  <c r="K42" i="37" s="1"/>
  <c r="L41" i="37" l="1"/>
  <c r="L42" i="37" s="1"/>
  <c r="M41" i="37" s="1"/>
  <c r="M42" i="37" s="1"/>
  <c r="N41" i="37" s="1"/>
  <c r="N42" i="37" s="1"/>
  <c r="B44" i="37" l="1"/>
  <c r="O41" i="37"/>
  <c r="O42" i="37" s="1"/>
  <c r="P41" i="37" s="1"/>
  <c r="P42" i="37" s="1"/>
  <c r="Q41" i="37" s="1"/>
  <c r="Q42" i="37" s="1"/>
  <c r="R41" i="37" s="1"/>
  <c r="R42" i="37" s="1"/>
  <c r="S41" i="37" s="1"/>
  <c r="S42" i="37" s="1"/>
  <c r="T41" i="37" s="1"/>
  <c r="T42" i="37" s="1"/>
  <c r="U41" i="37" s="1"/>
  <c r="F40" i="35"/>
  <c r="X13" i="34"/>
  <c r="Y11" i="34" s="1"/>
  <c r="W17" i="34"/>
  <c r="W15" i="34" s="1"/>
  <c r="U11" i="37" l="1"/>
  <c r="X106" i="34"/>
  <c r="W65" i="34"/>
  <c r="W102" i="34" s="1"/>
  <c r="U13" i="37" l="1"/>
  <c r="U15" i="38" s="1"/>
  <c r="U12" i="38" s="1"/>
  <c r="U4" i="38" s="1"/>
  <c r="U10" i="37"/>
  <c r="U24" i="37" s="1"/>
  <c r="U40" i="37" s="1"/>
  <c r="U42" i="37" s="1"/>
  <c r="V41" i="37" l="1"/>
  <c r="X15" i="34"/>
  <c r="V11" i="37" s="1"/>
  <c r="Y13" i="34"/>
  <c r="Z11" i="34" s="1"/>
  <c r="Z13" i="34" s="1"/>
  <c r="AA11" i="34" s="1"/>
  <c r="AA13" i="34" s="1"/>
  <c r="AB11" i="34" s="1"/>
  <c r="AB13" i="34" s="1"/>
  <c r="AC11" i="34" s="1"/>
  <c r="AC13" i="34" s="1"/>
  <c r="AD11" i="34" s="1"/>
  <c r="AD13" i="34" s="1"/>
  <c r="AE11" i="34" s="1"/>
  <c r="AE13" i="34" s="1"/>
  <c r="AF11" i="34" s="1"/>
  <c r="AF13" i="34" s="1"/>
  <c r="AG11" i="34" s="1"/>
  <c r="AG13" i="34" s="1"/>
  <c r="AH11" i="34" s="1"/>
  <c r="AH13" i="34" s="1"/>
  <c r="AI11" i="34" s="1"/>
  <c r="AI13" i="34" s="1"/>
  <c r="AJ11" i="34" s="1"/>
  <c r="AJ13" i="34" s="1"/>
  <c r="AK11" i="34" s="1"/>
  <c r="AK13" i="34" s="1"/>
  <c r="AL11" i="34" s="1"/>
  <c r="AL13" i="34" s="1"/>
  <c r="AM11" i="34" s="1"/>
  <c r="AM13" i="34" s="1"/>
  <c r="AN11" i="34" s="1"/>
  <c r="AN13" i="34" s="1"/>
  <c r="AO11" i="34" s="1"/>
  <c r="AO13" i="34" s="1"/>
  <c r="AP11" i="34" s="1"/>
  <c r="AP13" i="34" s="1"/>
  <c r="AQ11" i="34" s="1"/>
  <c r="AQ13" i="34" s="1"/>
  <c r="AR11" i="34" s="1"/>
  <c r="AR13" i="34" s="1"/>
  <c r="AS11" i="34" s="1"/>
  <c r="AS13" i="34" s="1"/>
  <c r="AT11" i="34" s="1"/>
  <c r="AT13" i="34" s="1"/>
  <c r="AU11" i="34" s="1"/>
  <c r="AU13" i="34" s="1"/>
  <c r="AV11" i="34" s="1"/>
  <c r="AV13" i="34" s="1"/>
  <c r="AW11" i="34" s="1"/>
  <c r="AW13" i="34" s="1"/>
  <c r="V13" i="37" l="1"/>
  <c r="V15" i="38" s="1"/>
  <c r="V12" i="38" s="1"/>
  <c r="V10" i="37"/>
  <c r="V24" i="37" s="1"/>
  <c r="V40" i="37" s="1"/>
  <c r="V42" i="37" s="1"/>
  <c r="X65" i="34"/>
  <c r="X102" i="34" s="1"/>
  <c r="C6" i="35"/>
  <c r="H6" i="35" s="1"/>
  <c r="Y106" i="34"/>
  <c r="H20" i="35" l="1"/>
  <c r="C20" i="35"/>
  <c r="C21" i="35" s="1"/>
  <c r="W41" i="37"/>
  <c r="W42" i="37" s="1"/>
  <c r="X41" i="37" s="1"/>
  <c r="X42" i="37" s="1"/>
  <c r="Y41" i="37" s="1"/>
  <c r="Y42" i="37" s="1"/>
  <c r="Z41" i="37" s="1"/>
  <c r="Z42" i="37" s="1"/>
  <c r="W12" i="38"/>
  <c r="V4" i="38"/>
  <c r="C3" i="39" s="1"/>
  <c r="C6" i="39" s="1"/>
  <c r="B45" i="37" l="1"/>
  <c r="B52" i="37" s="1"/>
  <c r="W4" i="38"/>
  <c r="X12" i="38"/>
  <c r="AA41" i="37"/>
  <c r="AA42" i="37" s="1"/>
  <c r="AB41" i="37" s="1"/>
  <c r="AB42" i="37" s="1"/>
  <c r="AC41" i="37" s="1"/>
  <c r="AC42" i="37" s="1"/>
  <c r="AD41" i="37" s="1"/>
  <c r="AD42" i="37" s="1"/>
  <c r="AE41" i="37" s="1"/>
  <c r="AE42" i="37" s="1"/>
  <c r="AF41" i="37" s="1"/>
  <c r="AF42" i="37" s="1"/>
  <c r="AG41" i="37" s="1"/>
  <c r="AG42" i="37" s="1"/>
  <c r="AH41" i="37" s="1"/>
  <c r="AH42" i="37" s="1"/>
  <c r="C28" i="35"/>
  <c r="C29" i="35" l="1"/>
  <c r="H28" i="35"/>
  <c r="C32" i="35"/>
  <c r="AI41" i="37"/>
  <c r="AI42" i="37" s="1"/>
  <c r="X4" i="38"/>
  <c r="Y12" i="38"/>
  <c r="Z12" i="38" l="1"/>
  <c r="Y4" i="38"/>
  <c r="AJ41" i="37"/>
  <c r="AJ42" i="37" s="1"/>
  <c r="AK41" i="37" s="1"/>
  <c r="AK42" i="37" s="1"/>
  <c r="AL41" i="37" s="1"/>
  <c r="AL42" i="37" s="1"/>
  <c r="C35" i="35"/>
  <c r="C40" i="35" s="1"/>
  <c r="C36" i="35"/>
  <c r="H35" i="35" l="1"/>
  <c r="B46" i="37"/>
  <c r="B53" i="37" s="1"/>
  <c r="D38" i="35"/>
  <c r="E38" i="35" s="1"/>
  <c r="AM41" i="37"/>
  <c r="AM42" i="37" s="1"/>
  <c r="AN41" i="37" s="1"/>
  <c r="AN42" i="37" s="1"/>
  <c r="AO41" i="37" s="1"/>
  <c r="AO42" i="37" s="1"/>
  <c r="AP41" i="37" s="1"/>
  <c r="AP42" i="37" s="1"/>
  <c r="AQ41" i="37" s="1"/>
  <c r="AQ42" i="37" s="1"/>
  <c r="AR41" i="37" s="1"/>
  <c r="AR42" i="37" s="1"/>
  <c r="AS41" i="37" s="1"/>
  <c r="AS42" i="37" s="1"/>
  <c r="AT41" i="37" s="1"/>
  <c r="AT42" i="37" s="1"/>
  <c r="Z4" i="38"/>
  <c r="AA12" i="38"/>
  <c r="F38" i="35" l="1"/>
  <c r="E40" i="35"/>
  <c r="D39" i="35"/>
  <c r="D40" i="35" s="1"/>
  <c r="H40" i="35" s="1"/>
  <c r="AU41" i="37"/>
  <c r="AU42" i="37" s="1"/>
  <c r="AV41" i="37" s="1"/>
  <c r="AV42" i="37" s="1"/>
  <c r="AW41" i="37" s="1"/>
  <c r="AW42" i="37" s="1"/>
  <c r="AX41" i="37" s="1"/>
  <c r="AX42" i="37" s="1"/>
  <c r="C14" i="39"/>
  <c r="C16" i="39" s="1"/>
  <c r="C18" i="39" s="1"/>
  <c r="C20" i="39" s="1"/>
  <c r="AA4" i="38"/>
  <c r="AB12" i="38"/>
  <c r="E14" i="39" l="1"/>
  <c r="E16" i="39" s="1"/>
  <c r="B47" i="37"/>
  <c r="B54" i="37" s="1"/>
  <c r="D19" i="39"/>
  <c r="AC12" i="38"/>
  <c r="AB4" i="38"/>
  <c r="AY41" i="37"/>
  <c r="AY42" i="37" s="1"/>
  <c r="AZ41" i="37" s="1"/>
  <c r="AZ42" i="37" s="1"/>
  <c r="BA41" i="37" s="1"/>
  <c r="BA42" i="37" s="1"/>
  <c r="BB41" i="37" s="1"/>
  <c r="BB42" i="37" s="1"/>
  <c r="BC41" i="37" s="1"/>
  <c r="BC42" i="37" s="1"/>
  <c r="BD41" i="37" s="1"/>
  <c r="BD42" i="37" s="1"/>
  <c r="BE41" i="37" s="1"/>
  <c r="BE42" i="37" s="1"/>
  <c r="BF41" i="37" s="1"/>
  <c r="BF42" i="37" s="1"/>
  <c r="BG41" i="37" s="1"/>
  <c r="BG42" i="37" s="1"/>
  <c r="BH41" i="37" s="1"/>
  <c r="BH42" i="37" s="1"/>
  <c r="BI41" i="37" s="1"/>
  <c r="BI42" i="37" s="1"/>
  <c r="B48" i="37" s="1"/>
  <c r="D14" i="39" l="1"/>
  <c r="D16" i="39" s="1"/>
  <c r="B55" i="37"/>
  <c r="AD12" i="38"/>
  <c r="AC4" i="38"/>
  <c r="AE12" i="38" l="1"/>
  <c r="AD4" i="38"/>
  <c r="AF12" i="38" l="1"/>
  <c r="AE4" i="38"/>
  <c r="AG12" i="38" l="1"/>
  <c r="AF4" i="38"/>
  <c r="AG4" i="38" l="1"/>
  <c r="AH12" i="38"/>
  <c r="AH4" i="38" l="1"/>
  <c r="D3" i="39" s="1"/>
  <c r="D6" i="39" s="1"/>
  <c r="D18" i="39" s="1"/>
  <c r="D20" i="39" s="1"/>
  <c r="AI12" i="38"/>
  <c r="AJ12" i="38" l="1"/>
  <c r="AI4" i="38"/>
  <c r="E19" i="39"/>
  <c r="AK12" i="38" l="1"/>
  <c r="AJ4" i="38"/>
  <c r="AL12" i="38" l="1"/>
  <c r="AK4" i="38"/>
  <c r="AM12" i="38" l="1"/>
  <c r="AL4" i="38"/>
  <c r="AM4" i="38" l="1"/>
  <c r="AN12" i="38"/>
  <c r="AN4" i="38" l="1"/>
  <c r="AO12" i="38"/>
  <c r="AO4" i="38" l="1"/>
  <c r="AP12" i="38"/>
  <c r="AP4" i="38" l="1"/>
  <c r="AQ12" i="38"/>
  <c r="AR12" i="38" l="1"/>
  <c r="AQ4" i="38"/>
  <c r="AS12" i="38" l="1"/>
  <c r="AR4" i="38"/>
  <c r="AS4" i="38" l="1"/>
  <c r="AT12" i="38"/>
  <c r="AT4" i="38" s="1"/>
  <c r="E3" i="39" s="1"/>
  <c r="E6" i="39" s="1"/>
  <c r="E18" i="39" s="1"/>
  <c r="E20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Duquesne </author>
  </authors>
  <commentList>
    <comment ref="A1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Duquesne :</t>
        </r>
        <r>
          <rPr>
            <sz val="9"/>
            <color indexed="81"/>
            <rFont val="Tahoma"/>
            <family val="2"/>
          </rPr>
          <t xml:space="preserve">
500 pièces @ 75 EUR =37,500 EUR donc, rajout 5KEUR en août
</t>
        </r>
      </text>
    </comment>
  </commentList>
</comments>
</file>

<file path=xl/sharedStrings.xml><?xml version="1.0" encoding="utf-8"?>
<sst xmlns="http://schemas.openxmlformats.org/spreadsheetml/2006/main" count="208" uniqueCount="175">
  <si>
    <t>Salaire Administratif</t>
  </si>
  <si>
    <t>Design IT  (1MD)</t>
  </si>
  <si>
    <t>Support IT (Serveur Amazon)</t>
  </si>
  <si>
    <t>Développement Hardware (Make IT)</t>
  </si>
  <si>
    <t xml:space="preserve">Comptable </t>
  </si>
  <si>
    <t>Assurances</t>
  </si>
  <si>
    <t>Voiture société</t>
  </si>
  <si>
    <t>ordi</t>
  </si>
  <si>
    <t>téléphone</t>
  </si>
  <si>
    <t>tablette</t>
  </si>
  <si>
    <t>Notaire</t>
  </si>
  <si>
    <t>Anvers/Liège</t>
  </si>
  <si>
    <t>Bruxelles</t>
  </si>
  <si>
    <t xml:space="preserve">Commande des pièces </t>
  </si>
  <si>
    <t xml:space="preserve">BECI affiiation </t>
  </si>
  <si>
    <t>TVA</t>
  </si>
  <si>
    <t xml:space="preserve">Loyer+frais </t>
  </si>
  <si>
    <t>Internet</t>
  </si>
  <si>
    <t>frais téléphone</t>
  </si>
  <si>
    <t>Salaire Dirigeant + précompte+loi sociale</t>
  </si>
  <si>
    <t>garantie locative</t>
  </si>
  <si>
    <t>Impression Wobblers</t>
  </si>
  <si>
    <t>Distribution Wobblers</t>
  </si>
  <si>
    <t>Forty Factory</t>
  </si>
  <si>
    <t>Photographe shooting</t>
  </si>
  <si>
    <t>James Deano+Kody (shooting + video)</t>
  </si>
  <si>
    <t>rachat matériel bureau</t>
  </si>
  <si>
    <t>Développement App</t>
  </si>
  <si>
    <t>Freelance IT (Control + intgération)</t>
  </si>
  <si>
    <t>Salaire IT</t>
  </si>
  <si>
    <t>marque (propriété intellectuelle)</t>
  </si>
  <si>
    <t>ANNEE 1</t>
  </si>
  <si>
    <t>ANNEE 2</t>
  </si>
  <si>
    <t>ANNEE 3</t>
  </si>
  <si>
    <t>ANNEE 4</t>
  </si>
  <si>
    <t>ANNEE 5</t>
  </si>
  <si>
    <t>CA Total</t>
  </si>
  <si>
    <t>Charges variables</t>
  </si>
  <si>
    <t>Charges Opérationnelles (1)</t>
  </si>
  <si>
    <t>Marge brute</t>
  </si>
  <si>
    <t>Salaires (2)</t>
  </si>
  <si>
    <t>Marketing et Communication (3)</t>
  </si>
  <si>
    <t>EBITDA</t>
  </si>
  <si>
    <t>Masse salariale / CA</t>
  </si>
  <si>
    <t xml:space="preserve">Dotam </t>
  </si>
  <si>
    <t>Résultat d'exploitation</t>
  </si>
  <si>
    <t>Résultat financier</t>
  </si>
  <si>
    <t>Résultat courant</t>
  </si>
  <si>
    <t>Résultat exceptionnel</t>
  </si>
  <si>
    <t>Déficit reportable</t>
  </si>
  <si>
    <t>Résultat net</t>
  </si>
  <si>
    <t>Brut mensuel</t>
  </si>
  <si>
    <t>Brut annuel</t>
  </si>
  <si>
    <t>YEAR 2</t>
  </si>
  <si>
    <t>YEAR 3</t>
  </si>
  <si>
    <t>Mensualité</t>
  </si>
  <si>
    <t>Exploitation</t>
  </si>
  <si>
    <t>Total CA Encaissé Hors TVA</t>
  </si>
  <si>
    <t>Acompte encaissé hors TVA</t>
  </si>
  <si>
    <t>Soldes encaissé Hors TVA</t>
  </si>
  <si>
    <t>Dépenses</t>
  </si>
  <si>
    <t>Fournisseurs</t>
  </si>
  <si>
    <t>Acompte Fournisseurs</t>
  </si>
  <si>
    <t>Solde fournisseurs</t>
  </si>
  <si>
    <t>Charges salariales</t>
  </si>
  <si>
    <t>Remboursement/décaissement de TVA</t>
  </si>
  <si>
    <t xml:space="preserve">   Solde de TVA</t>
  </si>
  <si>
    <t>TVA à Payer</t>
  </si>
  <si>
    <t xml:space="preserve">   TVA à recevoir</t>
  </si>
  <si>
    <t>Impôt et taxe</t>
  </si>
  <si>
    <t>Flux de trésorerie opérationnels</t>
  </si>
  <si>
    <t>Flux d'investissement</t>
  </si>
  <si>
    <t>Autres investissements</t>
  </si>
  <si>
    <t>Flux de financement</t>
  </si>
  <si>
    <t xml:space="preserve">Remboursement de prêt </t>
  </si>
  <si>
    <t>Intérêt payé</t>
  </si>
  <si>
    <t>Variation de trésorerie</t>
  </si>
  <si>
    <t>Trésorerie au début du mois</t>
  </si>
  <si>
    <t>Trésorerie en fin de mois</t>
  </si>
  <si>
    <t>Min année 1</t>
  </si>
  <si>
    <t>Min année 2</t>
  </si>
  <si>
    <t>Min année 3</t>
  </si>
  <si>
    <t>Min année 4</t>
  </si>
  <si>
    <t>Min année 5</t>
  </si>
  <si>
    <t>BFR</t>
  </si>
  <si>
    <t>Stock</t>
  </si>
  <si>
    <t>Créances client</t>
  </si>
  <si>
    <t>Dette totale fournisseurs</t>
  </si>
  <si>
    <t>Salaires (Salaire net+ charges à payer)</t>
  </si>
  <si>
    <t>Salaire payés (salaire net+Charges payés)</t>
  </si>
  <si>
    <t>Dette fournisseurs</t>
  </si>
  <si>
    <t>Besoins (a)</t>
  </si>
  <si>
    <t>Variation du BFR</t>
  </si>
  <si>
    <t>Investissement</t>
  </si>
  <si>
    <t>Remboursement de prêt</t>
  </si>
  <si>
    <t>Total des besoins</t>
  </si>
  <si>
    <t>Ressources (b)</t>
  </si>
  <si>
    <t>Prêt à court terme</t>
  </si>
  <si>
    <t>Prêt à moyen/long terme</t>
  </si>
  <si>
    <t>Capacité d'autofinancement</t>
  </si>
  <si>
    <t>Dette fiscale</t>
  </si>
  <si>
    <t>Total des ressources</t>
  </si>
  <si>
    <t>Surplus de la période (b) - (a)</t>
  </si>
  <si>
    <t>Trésorerie disponible en début de période</t>
  </si>
  <si>
    <t>Total Trésorerie</t>
  </si>
  <si>
    <t>Total, TVA incluse (HTVA * 1,21)</t>
  </si>
  <si>
    <r>
      <t>BFR de TVA (</t>
    </r>
    <r>
      <rPr>
        <b/>
        <sz val="10"/>
        <rFont val="Calibri"/>
        <family val="2"/>
        <scheme val="minor"/>
      </rPr>
      <t>solde TVA cf Flux Tréso)</t>
    </r>
  </si>
  <si>
    <t>indépendant</t>
  </si>
  <si>
    <t>employé (1er : no SS)</t>
  </si>
  <si>
    <t>Total masse salariale</t>
  </si>
  <si>
    <t>HYPOTHESES</t>
  </si>
  <si>
    <t>Support hardware Anvers</t>
  </si>
  <si>
    <t>Support hardware Liège</t>
  </si>
  <si>
    <t>Support hardware Ost &amp; West VL</t>
  </si>
  <si>
    <t>CA et charges HTVA</t>
  </si>
  <si>
    <t>mais tenu compte dans la tréso</t>
  </si>
  <si>
    <t>Pièces installées</t>
  </si>
  <si>
    <t>Stock fin de mois</t>
  </si>
  <si>
    <t>Pièces en stock début de mois</t>
  </si>
  <si>
    <t>Production de signalétiques</t>
  </si>
  <si>
    <t>Idem RMB mais en Flandre</t>
  </si>
  <si>
    <t>Placement signalétique (10 €/ plaque)</t>
  </si>
  <si>
    <t>Support hardware Wallonie</t>
  </si>
  <si>
    <t>Moyenne</t>
  </si>
  <si>
    <t>index + 3%</t>
  </si>
  <si>
    <t>Trésorerie</t>
  </si>
  <si>
    <t>Avocats</t>
  </si>
  <si>
    <t>Place Total</t>
  </si>
  <si>
    <t>Salaire Juriste-Administratif</t>
  </si>
  <si>
    <t>Charleroi/Namur/Courtrai/Mons Gand/Knoke/Koksijde/Ostende</t>
  </si>
  <si>
    <t>en journée :</t>
  </si>
  <si>
    <t>en soirée :</t>
  </si>
  <si>
    <t>TOTAL</t>
  </si>
  <si>
    <t>CA d'une signalétique par jour TVAC</t>
  </si>
  <si>
    <t>CA d'une signalétique par mois TVAC</t>
  </si>
  <si>
    <t>Salaire Ambassador 2 (commercial)</t>
  </si>
  <si>
    <t>Salaire Ambassador 1 (commercial)</t>
  </si>
  <si>
    <t>Salaire Support</t>
  </si>
  <si>
    <t>AVSD (Graphisme)</t>
  </si>
  <si>
    <t>Pricing Pact (Tarification)</t>
  </si>
  <si>
    <t>Salaire Administratif-Juriste</t>
  </si>
  <si>
    <t>Charges variables 7</t>
  </si>
  <si>
    <t>Charges variables 8</t>
  </si>
  <si>
    <t>Charges variables 9</t>
  </si>
  <si>
    <t>Charges variables 10</t>
  </si>
  <si>
    <t>prix horaire</t>
  </si>
  <si>
    <t>nbre heure</t>
  </si>
  <si>
    <t>jours par mois</t>
  </si>
  <si>
    <t xml:space="preserve">X% commision </t>
  </si>
  <si>
    <t>Commision mensuelle PASHA de X% du CA HTVA</t>
  </si>
  <si>
    <t xml:space="preserve">Revenu mensuel de l'ayant droit  </t>
  </si>
  <si>
    <t>forfait nuit</t>
  </si>
  <si>
    <t>nuit</t>
  </si>
  <si>
    <t>Prix de revient d'une signalétique HTVA</t>
  </si>
  <si>
    <t xml:space="preserve">Première augmentation de capital </t>
  </si>
  <si>
    <t xml:space="preserve">Deuxième augmentation de capital </t>
  </si>
  <si>
    <t>Fondateurs - capital initial</t>
  </si>
  <si>
    <t>Régie Média Belge</t>
  </si>
  <si>
    <t>Distribution siganalétiques (Pasha + Amazon)</t>
  </si>
  <si>
    <t>Développement Web</t>
  </si>
  <si>
    <t>Prêt bancaire</t>
  </si>
  <si>
    <t>SPREDS (max 250.000,0)</t>
  </si>
  <si>
    <t>Acquisition garage (Radio + BeInfluence)</t>
  </si>
  <si>
    <t>Honoraires Levée fonds SPREDS</t>
  </si>
  <si>
    <t>Communication (PR)</t>
  </si>
  <si>
    <t>prêt convertible (seeder fund, Bruseed) en cous</t>
  </si>
  <si>
    <t>co-investisseur</t>
  </si>
  <si>
    <t>Total cumulé</t>
  </si>
  <si>
    <t>impôt 29,58 % (à partir de 2018) et 25% (à partir de 2020)</t>
  </si>
  <si>
    <t>-</t>
  </si>
  <si>
    <t>Marge brut / CA</t>
  </si>
  <si>
    <t>EBITDA / CA</t>
  </si>
  <si>
    <t>Résultat courant/ CA</t>
  </si>
  <si>
    <t>Rachat brevet</t>
  </si>
  <si>
    <t>Investisseur privé (BeAngels/BAN Vlanderen)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</si>
</sst>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€&quot;"/>
    <numFmt numFmtId="165" formatCode="_-* #,##0\ &quot;€&quot;_-;\-* #,##0\ &quot;€&quot;_-;_-* &quot;-&quot;??\ &quot;€&quot;_-;_-@_-"/>
    <numFmt numFmtId="166" formatCode="_-* #,##0\ _€_-;\-* #,##0\ _€_-;_-* &quot;-&quot;??\ _€_-;_-@_-"/>
    <numFmt numFmtId="167" formatCode="#,##0_ ;\-#,##0\ "/>
    <numFmt numFmtId="168" formatCode="0.0%"/>
    <numFmt numFmtId="169" formatCode="#,##0_ ;[Red]\-#,##0\ "/>
    <numFmt numFmtId="170" formatCode="_-* #,##0.0\ _€_-;\-* #,##0.0\ _€_-;_-* &quot;-&quot;?\ _€_-;_-@_-"/>
    <numFmt numFmtId="171" formatCode="_-* #,##0\ _€_-;\-* #,##0\ _€_-;_-* &quot;-&quot;?\ _€_-;_-@_-"/>
    <numFmt numFmtId="172" formatCode="#,##0.00\ &quot;€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b/>
      <i/>
      <sz val="15"/>
      <color theme="1"/>
      <name val="Arial"/>
      <family val="2"/>
    </font>
    <font>
      <b/>
      <sz val="2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062A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vertical="center"/>
    </xf>
    <xf numFmtId="0" fontId="0" fillId="4" borderId="0" xfId="0" applyFill="1" applyAlignment="1">
      <alignment horizontal="center"/>
    </xf>
    <xf numFmtId="17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5" fontId="7" fillId="7" borderId="0" xfId="15" applyNumberFormat="1" applyFont="1" applyFill="1"/>
    <xf numFmtId="165" fontId="9" fillId="0" borderId="0" xfId="15" applyNumberFormat="1" applyFont="1"/>
    <xf numFmtId="165" fontId="0" fillId="0" borderId="0" xfId="15" applyNumberFormat="1" applyFont="1"/>
    <xf numFmtId="166" fontId="8" fillId="0" borderId="0" xfId="1" applyNumberFormat="1" applyFont="1"/>
    <xf numFmtId="166" fontId="9" fillId="0" borderId="0" xfId="1" applyNumberFormat="1" applyFont="1"/>
    <xf numFmtId="166" fontId="9" fillId="0" borderId="0" xfId="1" applyNumberFormat="1" applyFont="1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165" fontId="2" fillId="0" borderId="0" xfId="15" applyNumberFormat="1" applyFont="1"/>
    <xf numFmtId="0" fontId="0" fillId="0" borderId="0" xfId="0" applyAlignment="1">
      <alignment horizontal="left"/>
    </xf>
    <xf numFmtId="165" fontId="10" fillId="0" borderId="0" xfId="15" applyNumberFormat="1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Fill="1"/>
    <xf numFmtId="166" fontId="11" fillId="0" borderId="0" xfId="1" applyNumberFormat="1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2" fillId="0" borderId="1" xfId="1" applyNumberFormat="1" applyFont="1" applyBorder="1"/>
    <xf numFmtId="166" fontId="12" fillId="0" borderId="2" xfId="1" applyNumberFormat="1" applyFont="1" applyBorder="1"/>
    <xf numFmtId="166" fontId="12" fillId="0" borderId="0" xfId="1" applyNumberFormat="1" applyFont="1"/>
    <xf numFmtId="41" fontId="0" fillId="0" borderId="0" xfId="0" applyNumberFormat="1"/>
    <xf numFmtId="0" fontId="15" fillId="0" borderId="0" xfId="0" applyFont="1"/>
    <xf numFmtId="166" fontId="15" fillId="0" borderId="0" xfId="1" applyNumberFormat="1" applyFont="1"/>
    <xf numFmtId="0" fontId="14" fillId="0" borderId="0" xfId="0" applyFont="1" applyAlignment="1">
      <alignment horizontal="center"/>
    </xf>
    <xf numFmtId="166" fontId="14" fillId="0" borderId="0" xfId="1" applyNumberFormat="1" applyFont="1" applyAlignment="1">
      <alignment horizontal="center"/>
    </xf>
    <xf numFmtId="0" fontId="9" fillId="0" borderId="0" xfId="0" applyFont="1"/>
    <xf numFmtId="0" fontId="17" fillId="0" borderId="0" xfId="0" applyFont="1"/>
    <xf numFmtId="166" fontId="14" fillId="0" borderId="0" xfId="1" applyNumberFormat="1" applyFont="1"/>
    <xf numFmtId="0" fontId="14" fillId="0" borderId="0" xfId="0" applyFont="1"/>
    <xf numFmtId="166" fontId="17" fillId="0" borderId="0" xfId="1" applyNumberFormat="1" applyFont="1"/>
    <xf numFmtId="166" fontId="14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13" fillId="9" borderId="0" xfId="0" applyFont="1" applyFill="1" applyBorder="1" applyAlignment="1">
      <alignment horizontal="center"/>
    </xf>
    <xf numFmtId="17" fontId="13" fillId="9" borderId="0" xfId="0" applyNumberFormat="1" applyFont="1" applyFill="1" applyBorder="1" applyAlignment="1">
      <alignment horizontal="center"/>
    </xf>
    <xf numFmtId="0" fontId="21" fillId="0" borderId="0" xfId="0" applyFont="1"/>
    <xf numFmtId="0" fontId="2" fillId="0" borderId="0" xfId="0" applyFont="1"/>
    <xf numFmtId="3" fontId="2" fillId="0" borderId="0" xfId="0" applyNumberFormat="1" applyFont="1"/>
    <xf numFmtId="166" fontId="2" fillId="0" borderId="0" xfId="0" applyNumberFormat="1" applyFont="1"/>
    <xf numFmtId="3" fontId="17" fillId="0" borderId="0" xfId="0" applyNumberFormat="1" applyFont="1" applyAlignment="1">
      <alignment horizontal="left"/>
    </xf>
    <xf numFmtId="3" fontId="17" fillId="0" borderId="0" xfId="0" applyNumberFormat="1" applyFont="1" applyAlignment="1">
      <alignment horizontal="right"/>
    </xf>
    <xf numFmtId="3" fontId="17" fillId="0" borderId="0" xfId="1" applyNumberFormat="1" applyFont="1" applyAlignment="1">
      <alignment horizontal="right"/>
    </xf>
    <xf numFmtId="169" fontId="2" fillId="0" borderId="0" xfId="1" applyNumberFormat="1" applyFont="1"/>
    <xf numFmtId="169" fontId="0" fillId="0" borderId="0" xfId="1" applyNumberFormat="1" applyFont="1"/>
    <xf numFmtId="166" fontId="13" fillId="9" borderId="0" xfId="1" applyNumberFormat="1" applyFont="1" applyFill="1" applyBorder="1" applyAlignment="1">
      <alignment horizontal="center"/>
    </xf>
    <xf numFmtId="170" fontId="0" fillId="0" borderId="0" xfId="0" applyNumberFormat="1"/>
    <xf numFmtId="171" fontId="0" fillId="0" borderId="0" xfId="0" applyNumberFormat="1"/>
    <xf numFmtId="9" fontId="22" fillId="0" borderId="0" xfId="0" applyNumberFormat="1" applyFont="1"/>
    <xf numFmtId="3" fontId="23" fillId="0" borderId="0" xfId="0" applyNumberFormat="1" applyFont="1" applyFill="1"/>
    <xf numFmtId="166" fontId="22" fillId="0" borderId="0" xfId="1" applyNumberFormat="1" applyFont="1"/>
    <xf numFmtId="3" fontId="3" fillId="0" borderId="0" xfId="0" applyNumberFormat="1" applyFont="1"/>
    <xf numFmtId="0" fontId="24" fillId="9" borderId="0" xfId="0" applyFont="1" applyFill="1" applyAlignment="1">
      <alignment horizontal="center"/>
    </xf>
    <xf numFmtId="0" fontId="25" fillId="0" borderId="0" xfId="0" applyFont="1"/>
    <xf numFmtId="0" fontId="3" fillId="0" borderId="0" xfId="0" applyFont="1"/>
    <xf numFmtId="0" fontId="26" fillId="0" borderId="0" xfId="0" applyFont="1"/>
    <xf numFmtId="0" fontId="27" fillId="9" borderId="0" xfId="0" applyFont="1" applyFill="1" applyBorder="1" applyAlignment="1">
      <alignment horizontal="center"/>
    </xf>
    <xf numFmtId="17" fontId="27" fillId="9" borderId="0" xfId="0" applyNumberFormat="1" applyFont="1" applyFill="1" applyBorder="1" applyAlignment="1">
      <alignment horizontal="center"/>
    </xf>
    <xf numFmtId="0" fontId="28" fillId="0" borderId="0" xfId="0" applyFont="1"/>
    <xf numFmtId="0" fontId="0" fillId="0" borderId="0" xfId="0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2" borderId="1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30" fillId="4" borderId="0" xfId="0" applyFont="1" applyFill="1"/>
    <xf numFmtId="0" fontId="0" fillId="4" borderId="0" xfId="0" applyFill="1"/>
    <xf numFmtId="164" fontId="2" fillId="0" borderId="0" xfId="0" applyNumberFormat="1" applyFont="1" applyAlignment="1">
      <alignment horizontal="center"/>
    </xf>
    <xf numFmtId="166" fontId="0" fillId="0" borderId="0" xfId="1" applyNumberFormat="1" applyFont="1" applyFill="1"/>
    <xf numFmtId="166" fontId="2" fillId="0" borderId="0" xfId="1" applyNumberFormat="1" applyFont="1" applyFill="1"/>
    <xf numFmtId="9" fontId="0" fillId="0" borderId="0" xfId="0" applyNumberFormat="1"/>
    <xf numFmtId="164" fontId="0" fillId="0" borderId="0" xfId="0" applyNumberFormat="1" applyAlignment="1">
      <alignment horizontal="left"/>
    </xf>
    <xf numFmtId="3" fontId="0" fillId="0" borderId="0" xfId="0" applyNumberFormat="1"/>
    <xf numFmtId="3" fontId="8" fillId="0" borderId="0" xfId="1" applyNumberFormat="1" applyFont="1"/>
    <xf numFmtId="0" fontId="31" fillId="0" borderId="0" xfId="0" applyFont="1"/>
    <xf numFmtId="3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165" fontId="7" fillId="8" borderId="0" xfId="15" applyNumberFormat="1" applyFont="1" applyFill="1"/>
    <xf numFmtId="0" fontId="7" fillId="8" borderId="0" xfId="15" applyNumberFormat="1" applyFont="1" applyFill="1"/>
    <xf numFmtId="165" fontId="7" fillId="0" borderId="0" xfId="15" applyNumberFormat="1" applyFont="1"/>
    <xf numFmtId="0" fontId="0" fillId="0" borderId="0" xfId="0" applyBorder="1" applyAlignment="1">
      <alignment horizontal="center"/>
    </xf>
    <xf numFmtId="165" fontId="7" fillId="8" borderId="0" xfId="15" applyNumberFormat="1" applyFont="1" applyFill="1" applyAlignment="1">
      <alignment wrapText="1"/>
    </xf>
    <xf numFmtId="0" fontId="7" fillId="7" borderId="0" xfId="15" applyNumberFormat="1" applyFont="1" applyFill="1"/>
    <xf numFmtId="0" fontId="32" fillId="8" borderId="0" xfId="15" applyNumberFormat="1" applyFont="1" applyFill="1"/>
    <xf numFmtId="165" fontId="8" fillId="0" borderId="0" xfId="15" applyNumberFormat="1" applyFont="1" applyAlignment="1"/>
    <xf numFmtId="0" fontId="2" fillId="0" borderId="0" xfId="0" applyFont="1" applyAlignment="1">
      <alignment horizontal="left"/>
    </xf>
    <xf numFmtId="164" fontId="33" fillId="0" borderId="0" xfId="0" applyNumberFormat="1" applyFont="1" applyAlignment="1">
      <alignment horizontal="center"/>
    </xf>
    <xf numFmtId="172" fontId="7" fillId="7" borderId="0" xfId="15" applyNumberFormat="1" applyFont="1" applyFill="1"/>
    <xf numFmtId="0" fontId="0" fillId="0" borderId="0" xfId="0" applyFont="1" applyAlignment="1">
      <alignment horizontal="right"/>
    </xf>
    <xf numFmtId="8" fontId="0" fillId="0" borderId="0" xfId="0" applyNumberFormat="1" applyFont="1"/>
    <xf numFmtId="164" fontId="0" fillId="0" borderId="0" xfId="0" applyNumberFormat="1" applyFont="1" applyAlignment="1">
      <alignment horizontal="right"/>
    </xf>
    <xf numFmtId="0" fontId="0" fillId="0" borderId="5" xfId="0" applyBorder="1"/>
    <xf numFmtId="0" fontId="13" fillId="9" borderId="5" xfId="1" applyNumberFormat="1" applyFont="1" applyFill="1" applyBorder="1" applyAlignment="1">
      <alignment horizontal="center"/>
    </xf>
    <xf numFmtId="166" fontId="34" fillId="0" borderId="5" xfId="0" applyNumberFormat="1" applyFont="1" applyBorder="1" applyAlignment="1">
      <alignment horizontal="center"/>
    </xf>
    <xf numFmtId="0" fontId="9" fillId="3" borderId="5" xfId="0" applyFont="1" applyFill="1" applyBorder="1"/>
    <xf numFmtId="166" fontId="9" fillId="3" borderId="5" xfId="1" applyNumberFormat="1" applyFont="1" applyFill="1" applyBorder="1" applyAlignment="1">
      <alignment horizontal="center"/>
    </xf>
    <xf numFmtId="166" fontId="14" fillId="0" borderId="5" xfId="0" applyNumberFormat="1" applyFont="1" applyBorder="1" applyAlignment="1">
      <alignment horizontal="center"/>
    </xf>
    <xf numFmtId="0" fontId="9" fillId="0" borderId="5" xfId="0" applyFont="1" applyBorder="1"/>
    <xf numFmtId="166" fontId="9" fillId="0" borderId="5" xfId="1" applyNumberFormat="1" applyFont="1" applyBorder="1" applyAlignment="1">
      <alignment horizontal="center"/>
    </xf>
    <xf numFmtId="166" fontId="0" fillId="0" borderId="5" xfId="1" applyNumberFormat="1" applyFont="1" applyBorder="1"/>
    <xf numFmtId="166" fontId="0" fillId="0" borderId="5" xfId="1" applyNumberFormat="1" applyFont="1" applyBorder="1" applyAlignment="1">
      <alignment horizontal="center"/>
    </xf>
    <xf numFmtId="0" fontId="16" fillId="0" borderId="5" xfId="0" applyFont="1" applyBorder="1"/>
    <xf numFmtId="10" fontId="16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5" xfId="0" applyFont="1" applyBorder="1"/>
    <xf numFmtId="166" fontId="17" fillId="0" borderId="5" xfId="1" applyNumberFormat="1" applyFont="1" applyBorder="1" applyAlignment="1">
      <alignment horizontal="center"/>
    </xf>
    <xf numFmtId="166" fontId="18" fillId="0" borderId="5" xfId="0" applyNumberFormat="1" applyFont="1" applyBorder="1" applyAlignment="1">
      <alignment horizontal="center"/>
    </xf>
    <xf numFmtId="167" fontId="9" fillId="0" borderId="5" xfId="1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6" fontId="9" fillId="0" borderId="5" xfId="1" applyNumberFormat="1" applyFont="1" applyBorder="1"/>
    <xf numFmtId="0" fontId="10" fillId="0" borderId="5" xfId="0" applyFont="1" applyBorder="1"/>
    <xf numFmtId="9" fontId="0" fillId="0" borderId="5" xfId="2" applyFont="1" applyBorder="1" applyAlignment="1">
      <alignment horizontal="center"/>
    </xf>
    <xf numFmtId="166" fontId="17" fillId="0" borderId="5" xfId="1" applyNumberFormat="1" applyFont="1" applyBorder="1"/>
    <xf numFmtId="0" fontId="17" fillId="0" borderId="5" xfId="0" applyFont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166" fontId="0" fillId="0" borderId="5" xfId="0" applyNumberFormat="1" applyBorder="1"/>
    <xf numFmtId="168" fontId="0" fillId="0" borderId="5" xfId="2" applyNumberFormat="1" applyFont="1" applyBorder="1"/>
    <xf numFmtId="168" fontId="0" fillId="0" borderId="5" xfId="2" applyNumberFormat="1" applyFont="1" applyBorder="1" applyAlignment="1">
      <alignment horizontal="center"/>
    </xf>
    <xf numFmtId="168" fontId="16" fillId="0" borderId="5" xfId="0" applyNumberFormat="1" applyFont="1" applyBorder="1" applyAlignment="1">
      <alignment horizontal="center"/>
    </xf>
    <xf numFmtId="0" fontId="9" fillId="12" borderId="5" xfId="0" applyFont="1" applyFill="1" applyBorder="1"/>
    <xf numFmtId="166" fontId="9" fillId="12" borderId="5" xfId="1" applyNumberFormat="1" applyFont="1" applyFill="1" applyBorder="1"/>
    <xf numFmtId="8" fontId="2" fillId="0" borderId="0" xfId="0" applyNumberFormat="1" applyFont="1"/>
    <xf numFmtId="8" fontId="0" fillId="0" borderId="0" xfId="0" applyNumberFormat="1"/>
    <xf numFmtId="172" fontId="33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6" fillId="6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11" borderId="0" xfId="0" applyFill="1" applyAlignment="1">
      <alignment horizontal="center"/>
    </xf>
  </cellXfs>
  <cellStyles count="16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Milliers" xfId="1" builtinId="3"/>
    <cellStyle name="Monétaire" xfId="15" builtinId="4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F4F4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quesne%20Family/Documents/A_Phil/Edalfi/Prospect/HAVILA/Ripsteer/2018_0801_Business%20Plan%20Ripsteer_V14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Hypothèses Digital"/>
      <sheetName val="1.2 Mots clés"/>
      <sheetName val="Liste"/>
      <sheetName val="1.3. Nbre Clients Prof. FR"/>
      <sheetName val="1.4. C.A. B2B 5 Pays"/>
      <sheetName val=" 1.5. Coût acquis B2B"/>
      <sheetName val="2. Actions commerciales"/>
      <sheetName val="3. Ressources humaines"/>
      <sheetName val="4. Charges opérationnelles"/>
      <sheetName val="8. CdR Mensuel"/>
      <sheetName val="9. CdR Annuel"/>
      <sheetName val="10. Tableau flux de trésorerie"/>
      <sheetName val="5. Investissements"/>
      <sheetName val="6. Amortissements"/>
      <sheetName val="7. Financement"/>
      <sheetName val="11. BFR"/>
      <sheetName val="12. Plan de financement"/>
      <sheetName val="Graph"/>
    </sheetNames>
    <sheetDataSet>
      <sheetData sheetId="0">
        <row r="28">
          <cell r="C28">
            <v>0.01</v>
          </cell>
        </row>
      </sheetData>
      <sheetData sheetId="1"/>
      <sheetData sheetId="2"/>
      <sheetData sheetId="3"/>
      <sheetData sheetId="4"/>
      <sheetData sheetId="5"/>
      <sheetData sheetId="6">
        <row r="63">
          <cell r="B63">
            <v>1</v>
          </cell>
        </row>
      </sheetData>
      <sheetData sheetId="7">
        <row r="55">
          <cell r="C55">
            <v>0.3</v>
          </cell>
        </row>
      </sheetData>
      <sheetData sheetId="8">
        <row r="9">
          <cell r="A9" t="str">
            <v>Charges variables 7</v>
          </cell>
        </row>
      </sheetData>
      <sheetData sheetId="9">
        <row r="4">
          <cell r="A4" t="str">
            <v>CA Total</v>
          </cell>
        </row>
      </sheetData>
      <sheetData sheetId="10">
        <row r="42">
          <cell r="B42">
            <v>0</v>
          </cell>
        </row>
      </sheetData>
      <sheetData sheetId="11">
        <row r="6">
          <cell r="B6">
            <v>4.0424999999999995</v>
          </cell>
        </row>
      </sheetData>
      <sheetData sheetId="12">
        <row r="3">
          <cell r="B3">
            <v>35000</v>
          </cell>
        </row>
      </sheetData>
      <sheetData sheetId="13"/>
      <sheetData sheetId="14">
        <row r="2">
          <cell r="B2">
            <v>25000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workbookViewId="0">
      <selection activeCell="D4" sqref="D4"/>
    </sheetView>
  </sheetViews>
  <sheetFormatPr baseColWidth="10" defaultRowHeight="14.25" x14ac:dyDescent="0.45"/>
  <cols>
    <col min="1" max="1" width="15" customWidth="1"/>
    <col min="3" max="3" width="16.86328125" customWidth="1"/>
    <col min="4" max="4" width="11.3984375" style="73"/>
  </cols>
  <sheetData>
    <row r="1" spans="1:7" ht="23.25" x14ac:dyDescent="0.7">
      <c r="A1" s="74" t="s">
        <v>110</v>
      </c>
      <c r="B1" s="75"/>
      <c r="C1" s="75"/>
    </row>
    <row r="3" spans="1:7" s="46" customFormat="1" ht="21" x14ac:dyDescent="0.65">
      <c r="A3" s="46" t="s">
        <v>153</v>
      </c>
      <c r="D3" s="96">
        <v>50</v>
      </c>
    </row>
    <row r="4" spans="1:7" s="46" customFormat="1" x14ac:dyDescent="0.45">
      <c r="D4" s="76"/>
      <c r="E4" s="46" t="s">
        <v>146</v>
      </c>
      <c r="F4" s="46" t="s">
        <v>145</v>
      </c>
    </row>
    <row r="5" spans="1:7" s="46" customFormat="1" x14ac:dyDescent="0.45">
      <c r="A5" s="137" t="s">
        <v>133</v>
      </c>
      <c r="B5" s="137"/>
      <c r="C5" s="137"/>
      <c r="D5" s="100" t="s">
        <v>130</v>
      </c>
      <c r="E5" s="98">
        <v>3</v>
      </c>
      <c r="F5" s="99">
        <v>2.96</v>
      </c>
      <c r="G5" s="99">
        <f>E5*F5</f>
        <v>8.879999999999999</v>
      </c>
    </row>
    <row r="6" spans="1:7" s="46" customFormat="1" x14ac:dyDescent="0.45">
      <c r="D6" s="100" t="s">
        <v>131</v>
      </c>
      <c r="E6" s="98">
        <v>2</v>
      </c>
      <c r="F6" s="99">
        <v>1.96</v>
      </c>
      <c r="G6" s="99">
        <f>E6*F6</f>
        <v>3.92</v>
      </c>
    </row>
    <row r="7" spans="1:7" s="46" customFormat="1" x14ac:dyDescent="0.45">
      <c r="D7" s="135" t="s">
        <v>151</v>
      </c>
      <c r="E7" s="135"/>
      <c r="F7" s="99"/>
      <c r="G7" s="99">
        <v>1.96</v>
      </c>
    </row>
    <row r="8" spans="1:7" s="46" customFormat="1" x14ac:dyDescent="0.45">
      <c r="D8" s="100"/>
      <c r="E8" s="138" t="s">
        <v>147</v>
      </c>
      <c r="F8" s="138"/>
      <c r="G8" s="132"/>
    </row>
    <row r="9" spans="1:7" x14ac:dyDescent="0.45">
      <c r="A9" s="137" t="s">
        <v>134</v>
      </c>
      <c r="B9" s="137"/>
      <c r="C9" s="137"/>
      <c r="D9" s="100" t="s">
        <v>130</v>
      </c>
      <c r="E9" s="136">
        <v>15</v>
      </c>
      <c r="F9" s="136"/>
      <c r="G9" s="133">
        <f>E9*G5</f>
        <v>133.19999999999999</v>
      </c>
    </row>
    <row r="10" spans="1:7" x14ac:dyDescent="0.45">
      <c r="D10" s="100" t="s">
        <v>131</v>
      </c>
      <c r="E10" s="136">
        <v>10</v>
      </c>
      <c r="F10" s="136"/>
      <c r="G10" s="133">
        <f>E10*G6</f>
        <v>39.200000000000003</v>
      </c>
    </row>
    <row r="11" spans="1:7" x14ac:dyDescent="0.45">
      <c r="D11" s="100" t="s">
        <v>152</v>
      </c>
      <c r="E11" s="136">
        <v>8</v>
      </c>
      <c r="F11" s="136"/>
      <c r="G11" s="133">
        <f>E11*G7</f>
        <v>15.68</v>
      </c>
    </row>
    <row r="12" spans="1:7" x14ac:dyDescent="0.45">
      <c r="E12" s="138" t="s">
        <v>132</v>
      </c>
      <c r="F12" s="138"/>
      <c r="G12" s="132">
        <f>SUM(G9:G11)</f>
        <v>188.07999999999998</v>
      </c>
    </row>
    <row r="13" spans="1:7" ht="21" x14ac:dyDescent="0.65">
      <c r="A13" s="137" t="s">
        <v>149</v>
      </c>
      <c r="B13" s="137"/>
      <c r="C13" s="137"/>
      <c r="D13" s="134">
        <f>G12*B14/121</f>
        <v>77.719008264462815</v>
      </c>
    </row>
    <row r="14" spans="1:7" ht="21" x14ac:dyDescent="0.65">
      <c r="A14" s="95" t="s">
        <v>148</v>
      </c>
      <c r="B14" s="95">
        <v>50</v>
      </c>
      <c r="C14" s="95"/>
      <c r="D14" s="134"/>
    </row>
    <row r="15" spans="1:7" ht="21" x14ac:dyDescent="0.65">
      <c r="A15" s="137" t="s">
        <v>150</v>
      </c>
      <c r="B15" s="137"/>
      <c r="C15" s="137"/>
      <c r="D15" s="134">
        <f>G12*(100-B14)/100</f>
        <v>94.04</v>
      </c>
    </row>
    <row r="16" spans="1:7" x14ac:dyDescent="0.45">
      <c r="A16" s="17"/>
      <c r="B16" s="17"/>
      <c r="C16" s="17"/>
    </row>
    <row r="17" spans="1:4" x14ac:dyDescent="0.45">
      <c r="A17" s="46" t="s">
        <v>15</v>
      </c>
      <c r="B17" s="79">
        <v>0.21</v>
      </c>
      <c r="D17" s="80" t="s">
        <v>114</v>
      </c>
    </row>
    <row r="18" spans="1:4" x14ac:dyDescent="0.45">
      <c r="D18" s="80" t="s">
        <v>115</v>
      </c>
    </row>
  </sheetData>
  <mergeCells count="10">
    <mergeCell ref="D7:E7"/>
    <mergeCell ref="E11:F11"/>
    <mergeCell ref="A15:C15"/>
    <mergeCell ref="A13:C13"/>
    <mergeCell ref="A5:C5"/>
    <mergeCell ref="A9:C9"/>
    <mergeCell ref="E9:F9"/>
    <mergeCell ref="E10:F10"/>
    <mergeCell ref="E12:F12"/>
    <mergeCell ref="E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18"/>
  <sheetViews>
    <sheetView workbookViewId="0">
      <selection activeCell="Q8" sqref="Q8"/>
    </sheetView>
  </sheetViews>
  <sheetFormatPr baseColWidth="10" defaultRowHeight="14.25" x14ac:dyDescent="0.45"/>
  <cols>
    <col min="1" max="1" width="45" customWidth="1"/>
    <col min="2" max="2" width="19.1328125" customWidth="1"/>
    <col min="3" max="3" width="13.265625" customWidth="1"/>
    <col min="4" max="4" width="13" customWidth="1"/>
    <col min="5" max="5" width="9.73046875" customWidth="1"/>
    <col min="6" max="6" width="13.59765625" style="3" hidden="1" customWidth="1"/>
    <col min="7" max="7" width="13.1328125" style="3" hidden="1" customWidth="1"/>
    <col min="8" max="8" width="0" hidden="1" customWidth="1"/>
    <col min="54" max="67" width="0" hidden="1" customWidth="1"/>
  </cols>
  <sheetData>
    <row r="1" spans="1:68" x14ac:dyDescent="0.45">
      <c r="F1" s="139" t="s">
        <v>31</v>
      </c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40" t="s">
        <v>32</v>
      </c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1" t="s">
        <v>33</v>
      </c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 t="s">
        <v>34</v>
      </c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 t="s">
        <v>35</v>
      </c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</row>
    <row r="2" spans="1:68" x14ac:dyDescent="0.45">
      <c r="F2" s="6">
        <v>43101</v>
      </c>
      <c r="G2" s="6">
        <v>43132</v>
      </c>
      <c r="H2" s="6">
        <v>43160</v>
      </c>
      <c r="I2" s="6">
        <v>43191</v>
      </c>
      <c r="J2" s="6">
        <v>43221</v>
      </c>
      <c r="K2" s="6">
        <v>43252</v>
      </c>
      <c r="L2" s="6">
        <v>43282</v>
      </c>
      <c r="M2" s="6">
        <v>43313</v>
      </c>
      <c r="N2" s="6">
        <v>43344</v>
      </c>
      <c r="O2" s="6">
        <v>43374</v>
      </c>
      <c r="P2" s="6">
        <v>43405</v>
      </c>
      <c r="Q2" s="6">
        <v>43435</v>
      </c>
      <c r="R2" s="6">
        <v>43466</v>
      </c>
      <c r="S2" s="6">
        <v>43497</v>
      </c>
      <c r="T2" s="6">
        <v>43525</v>
      </c>
      <c r="U2" s="6">
        <v>43556</v>
      </c>
      <c r="V2" s="6">
        <v>43586</v>
      </c>
      <c r="W2" s="6">
        <v>43617</v>
      </c>
      <c r="X2" s="6">
        <v>43647</v>
      </c>
      <c r="Y2" s="6">
        <v>43678</v>
      </c>
      <c r="Z2" s="6">
        <v>43709</v>
      </c>
      <c r="AA2" s="6">
        <v>43739</v>
      </c>
      <c r="AB2" s="6">
        <v>43770</v>
      </c>
      <c r="AC2" s="6">
        <v>43800</v>
      </c>
      <c r="AD2" s="6">
        <v>43831</v>
      </c>
      <c r="AE2" s="6">
        <v>43862</v>
      </c>
      <c r="AF2" s="6">
        <v>43891</v>
      </c>
      <c r="AG2" s="6">
        <v>43922</v>
      </c>
      <c r="AH2" s="6">
        <v>43952</v>
      </c>
      <c r="AI2" s="6">
        <v>43983</v>
      </c>
      <c r="AJ2" s="6">
        <v>44013</v>
      </c>
      <c r="AK2" s="6">
        <v>44044</v>
      </c>
      <c r="AL2" s="6">
        <v>44075</v>
      </c>
      <c r="AM2" s="6">
        <v>44105</v>
      </c>
      <c r="AN2" s="6">
        <v>44136</v>
      </c>
      <c r="AO2" s="6">
        <v>44166</v>
      </c>
      <c r="AP2" s="6">
        <v>44197</v>
      </c>
      <c r="AQ2" s="6">
        <v>44228</v>
      </c>
      <c r="AR2" s="6">
        <v>44256</v>
      </c>
      <c r="AS2" s="6">
        <v>44287</v>
      </c>
      <c r="AT2" s="6">
        <v>44317</v>
      </c>
      <c r="AU2" s="6">
        <v>44348</v>
      </c>
      <c r="AV2" s="6">
        <v>44378</v>
      </c>
      <c r="AW2" s="6">
        <v>44409</v>
      </c>
      <c r="AX2" s="6">
        <v>44440</v>
      </c>
      <c r="AY2" s="6">
        <v>44470</v>
      </c>
      <c r="AZ2" s="6">
        <v>44501</v>
      </c>
      <c r="BA2" s="6">
        <v>44531</v>
      </c>
      <c r="BB2" s="6">
        <v>44562</v>
      </c>
      <c r="BC2" s="6">
        <v>44593</v>
      </c>
      <c r="BD2" s="6">
        <v>44621</v>
      </c>
      <c r="BE2" s="6">
        <v>44652</v>
      </c>
      <c r="BF2" s="6">
        <v>44682</v>
      </c>
      <c r="BG2" s="6">
        <v>44713</v>
      </c>
      <c r="BH2" s="6">
        <v>44743</v>
      </c>
      <c r="BI2" s="6">
        <v>44774</v>
      </c>
      <c r="BJ2" s="6">
        <v>44805</v>
      </c>
      <c r="BK2" s="6">
        <v>44835</v>
      </c>
      <c r="BL2" s="6">
        <v>44866</v>
      </c>
      <c r="BM2" s="6">
        <v>44896</v>
      </c>
    </row>
    <row r="3" spans="1:68" x14ac:dyDescent="0.45">
      <c r="F3" s="3">
        <v>1</v>
      </c>
      <c r="G3" s="3">
        <f>1+F3</f>
        <v>2</v>
      </c>
      <c r="H3" s="3">
        <f t="shared" ref="H3:BM3" si="0">1+G3</f>
        <v>3</v>
      </c>
      <c r="I3" s="3">
        <v>1</v>
      </c>
      <c r="J3" s="3">
        <f t="shared" si="0"/>
        <v>2</v>
      </c>
      <c r="K3" s="3">
        <f t="shared" si="0"/>
        <v>3</v>
      </c>
      <c r="L3" s="3">
        <f t="shared" si="0"/>
        <v>4</v>
      </c>
      <c r="M3" s="3">
        <f t="shared" si="0"/>
        <v>5</v>
      </c>
      <c r="N3" s="3">
        <f t="shared" si="0"/>
        <v>6</v>
      </c>
      <c r="O3" s="3">
        <f t="shared" si="0"/>
        <v>7</v>
      </c>
      <c r="P3" s="3">
        <f t="shared" si="0"/>
        <v>8</v>
      </c>
      <c r="Q3" s="7">
        <f t="shared" si="0"/>
        <v>9</v>
      </c>
      <c r="R3" s="3">
        <f t="shared" si="0"/>
        <v>10</v>
      </c>
      <c r="S3" s="3">
        <f t="shared" si="0"/>
        <v>11</v>
      </c>
      <c r="T3" s="3">
        <f t="shared" si="0"/>
        <v>12</v>
      </c>
      <c r="U3" s="3">
        <f t="shared" si="0"/>
        <v>13</v>
      </c>
      <c r="V3" s="3">
        <f t="shared" si="0"/>
        <v>14</v>
      </c>
      <c r="W3" s="3">
        <f t="shared" si="0"/>
        <v>15</v>
      </c>
      <c r="X3" s="3">
        <f t="shared" si="0"/>
        <v>16</v>
      </c>
      <c r="Y3" s="3">
        <f t="shared" si="0"/>
        <v>17</v>
      </c>
      <c r="Z3" s="3">
        <f t="shared" si="0"/>
        <v>18</v>
      </c>
      <c r="AA3" s="3">
        <f t="shared" si="0"/>
        <v>19</v>
      </c>
      <c r="AB3" s="3">
        <f t="shared" si="0"/>
        <v>20</v>
      </c>
      <c r="AC3" s="7">
        <f t="shared" si="0"/>
        <v>21</v>
      </c>
      <c r="AD3" s="3">
        <f t="shared" si="0"/>
        <v>22</v>
      </c>
      <c r="AE3" s="3">
        <f t="shared" si="0"/>
        <v>23</v>
      </c>
      <c r="AF3" s="3">
        <f t="shared" si="0"/>
        <v>24</v>
      </c>
      <c r="AG3" s="3">
        <f t="shared" si="0"/>
        <v>25</v>
      </c>
      <c r="AH3" s="3">
        <f t="shared" si="0"/>
        <v>26</v>
      </c>
      <c r="AI3" s="3">
        <f t="shared" si="0"/>
        <v>27</v>
      </c>
      <c r="AJ3" s="3">
        <f t="shared" si="0"/>
        <v>28</v>
      </c>
      <c r="AK3" s="3">
        <f t="shared" si="0"/>
        <v>29</v>
      </c>
      <c r="AL3" s="3">
        <f t="shared" si="0"/>
        <v>30</v>
      </c>
      <c r="AM3" s="3">
        <f t="shared" si="0"/>
        <v>31</v>
      </c>
      <c r="AN3" s="3">
        <f t="shared" si="0"/>
        <v>32</v>
      </c>
      <c r="AO3" s="7">
        <f t="shared" si="0"/>
        <v>33</v>
      </c>
      <c r="AP3" s="3">
        <f t="shared" si="0"/>
        <v>34</v>
      </c>
      <c r="AQ3" s="3">
        <f t="shared" si="0"/>
        <v>35</v>
      </c>
      <c r="AR3" s="3">
        <f t="shared" si="0"/>
        <v>36</v>
      </c>
      <c r="AS3" s="3">
        <f t="shared" si="0"/>
        <v>37</v>
      </c>
      <c r="AT3" s="3">
        <f t="shared" si="0"/>
        <v>38</v>
      </c>
      <c r="AU3" s="3">
        <f t="shared" si="0"/>
        <v>39</v>
      </c>
      <c r="AV3" s="3">
        <f t="shared" si="0"/>
        <v>40</v>
      </c>
      <c r="AW3" s="3">
        <f t="shared" si="0"/>
        <v>41</v>
      </c>
      <c r="AX3" s="3">
        <f t="shared" si="0"/>
        <v>42</v>
      </c>
      <c r="AY3" s="3">
        <f t="shared" si="0"/>
        <v>43</v>
      </c>
      <c r="AZ3" s="3">
        <f t="shared" si="0"/>
        <v>44</v>
      </c>
      <c r="BA3" s="7">
        <f t="shared" si="0"/>
        <v>45</v>
      </c>
      <c r="BB3" s="3">
        <f t="shared" si="0"/>
        <v>46</v>
      </c>
      <c r="BC3" s="3">
        <f t="shared" si="0"/>
        <v>47</v>
      </c>
      <c r="BD3" s="3">
        <f t="shared" si="0"/>
        <v>48</v>
      </c>
      <c r="BE3" s="3">
        <f t="shared" si="0"/>
        <v>49</v>
      </c>
      <c r="BF3" s="3">
        <f t="shared" si="0"/>
        <v>50</v>
      </c>
      <c r="BG3" s="3">
        <f t="shared" si="0"/>
        <v>51</v>
      </c>
      <c r="BH3" s="3">
        <f t="shared" si="0"/>
        <v>52</v>
      </c>
      <c r="BI3" s="3">
        <f t="shared" si="0"/>
        <v>53</v>
      </c>
      <c r="BJ3" s="3">
        <f t="shared" si="0"/>
        <v>54</v>
      </c>
      <c r="BK3" s="3">
        <f t="shared" si="0"/>
        <v>55</v>
      </c>
      <c r="BL3" s="3">
        <f t="shared" si="0"/>
        <v>56</v>
      </c>
      <c r="BM3" s="7">
        <f t="shared" si="0"/>
        <v>57</v>
      </c>
    </row>
    <row r="5" spans="1:68" x14ac:dyDescent="0.45">
      <c r="A5" s="3">
        <v>13.85</v>
      </c>
      <c r="B5" s="3"/>
      <c r="C5" s="3"/>
      <c r="D5" s="3"/>
      <c r="E5" s="3"/>
    </row>
    <row r="6" spans="1:68" x14ac:dyDescent="0.45">
      <c r="C6" s="42" t="s">
        <v>51</v>
      </c>
      <c r="D6" s="42" t="s">
        <v>52</v>
      </c>
      <c r="E6" s="83" t="s">
        <v>123</v>
      </c>
    </row>
    <row r="7" spans="1:68" x14ac:dyDescent="0.45">
      <c r="A7" s="41" t="s">
        <v>19</v>
      </c>
      <c r="B7" s="41" t="s">
        <v>107</v>
      </c>
      <c r="C7" s="84"/>
      <c r="D7" s="84"/>
      <c r="E7" s="41"/>
      <c r="J7" s="85"/>
      <c r="K7" s="85"/>
      <c r="L7" s="85"/>
      <c r="M7" s="85">
        <v>2000</v>
      </c>
      <c r="N7" s="85">
        <v>2000</v>
      </c>
      <c r="O7" s="85">
        <v>2000</v>
      </c>
      <c r="P7" s="85">
        <v>2000</v>
      </c>
      <c r="Q7" s="85">
        <v>3000</v>
      </c>
      <c r="R7" s="85">
        <v>3000</v>
      </c>
      <c r="S7" s="85">
        <v>3000</v>
      </c>
      <c r="T7" s="85">
        <v>3000</v>
      </c>
      <c r="U7" s="85">
        <v>5000</v>
      </c>
      <c r="V7" s="85">
        <v>5000</v>
      </c>
      <c r="W7" s="85">
        <v>5000</v>
      </c>
      <c r="X7" s="85">
        <v>5000</v>
      </c>
      <c r="Y7" s="85">
        <v>5000</v>
      </c>
      <c r="Z7" s="85">
        <v>5000</v>
      </c>
      <c r="AA7" s="85">
        <v>5000</v>
      </c>
      <c r="AB7" s="85">
        <v>5000</v>
      </c>
      <c r="AC7" s="85">
        <v>5000</v>
      </c>
      <c r="AD7" s="85">
        <v>6500</v>
      </c>
      <c r="AE7" s="85">
        <v>6500</v>
      </c>
      <c r="AF7" s="85">
        <v>6500</v>
      </c>
      <c r="AG7" s="85">
        <v>6500</v>
      </c>
      <c r="AH7" s="85">
        <v>6500</v>
      </c>
      <c r="AI7" s="85">
        <v>6500</v>
      </c>
      <c r="AJ7" s="85">
        <v>6500</v>
      </c>
      <c r="AK7" s="85">
        <v>6500</v>
      </c>
      <c r="AL7" s="85">
        <v>6500</v>
      </c>
      <c r="AM7" s="85">
        <v>6500</v>
      </c>
      <c r="AN7" s="85">
        <v>6500</v>
      </c>
      <c r="AO7" s="85">
        <v>6500</v>
      </c>
      <c r="AP7" s="85">
        <v>6500</v>
      </c>
      <c r="AQ7" s="85">
        <v>6500</v>
      </c>
      <c r="AR7" s="85">
        <v>6500</v>
      </c>
      <c r="AS7" s="85">
        <v>6500</v>
      </c>
      <c r="AT7" s="85">
        <v>6500</v>
      </c>
      <c r="AU7" s="85">
        <v>6500</v>
      </c>
      <c r="AV7" s="85">
        <v>6500</v>
      </c>
      <c r="AW7" s="85">
        <v>6500</v>
      </c>
      <c r="AX7" s="85">
        <v>6500</v>
      </c>
      <c r="AY7" s="85">
        <v>6500</v>
      </c>
      <c r="AZ7" s="85">
        <v>6500</v>
      </c>
      <c r="BA7" s="85">
        <v>6500</v>
      </c>
      <c r="BB7" s="85"/>
      <c r="BC7" s="85"/>
      <c r="BD7" s="85"/>
      <c r="BE7" s="85"/>
      <c r="BF7" s="85"/>
      <c r="BG7" s="68"/>
      <c r="BH7" s="68"/>
      <c r="BI7" s="1"/>
      <c r="BJ7" s="1"/>
      <c r="BK7" s="1"/>
      <c r="BL7" s="1"/>
      <c r="BM7" s="1"/>
      <c r="BN7" s="1"/>
      <c r="BO7" s="1"/>
      <c r="BP7" s="1"/>
    </row>
    <row r="8" spans="1:68" x14ac:dyDescent="0.45">
      <c r="A8" s="41" t="s">
        <v>0</v>
      </c>
      <c r="B8" s="41" t="s">
        <v>108</v>
      </c>
      <c r="C8" s="84"/>
      <c r="D8" s="84"/>
      <c r="E8" s="84"/>
      <c r="J8" s="86"/>
      <c r="K8" s="86"/>
      <c r="L8" s="86"/>
      <c r="M8" s="86"/>
      <c r="N8" s="86"/>
      <c r="O8" s="86"/>
      <c r="P8" s="86">
        <v>2000</v>
      </c>
      <c r="Q8" s="86">
        <v>2000</v>
      </c>
      <c r="R8" s="86">
        <v>2750</v>
      </c>
      <c r="S8" s="86">
        <v>2750</v>
      </c>
      <c r="T8" s="86">
        <v>2750</v>
      </c>
      <c r="U8" s="86">
        <v>3500</v>
      </c>
      <c r="V8" s="86">
        <v>3500</v>
      </c>
      <c r="W8" s="86">
        <v>3500</v>
      </c>
      <c r="X8" s="86">
        <v>3500</v>
      </c>
      <c r="Y8" s="86">
        <v>3500</v>
      </c>
      <c r="Z8" s="86">
        <v>3500</v>
      </c>
      <c r="AA8" s="86">
        <v>3500</v>
      </c>
      <c r="AB8" s="86">
        <v>3500</v>
      </c>
      <c r="AC8" s="86">
        <v>3500</v>
      </c>
      <c r="AD8" s="86">
        <v>4000</v>
      </c>
      <c r="AE8" s="86">
        <v>4000</v>
      </c>
      <c r="AF8" s="86">
        <v>4000</v>
      </c>
      <c r="AG8" s="86">
        <v>4000</v>
      </c>
      <c r="AH8" s="86">
        <v>4000</v>
      </c>
      <c r="AI8" s="86">
        <v>4000</v>
      </c>
      <c r="AJ8" s="86">
        <v>4000</v>
      </c>
      <c r="AK8" s="86">
        <v>4000</v>
      </c>
      <c r="AL8" s="86">
        <v>4000</v>
      </c>
      <c r="AM8" s="86">
        <v>4000</v>
      </c>
      <c r="AN8" s="86">
        <v>4000</v>
      </c>
      <c r="AO8" s="86">
        <v>4000</v>
      </c>
      <c r="AP8" s="86">
        <v>5150</v>
      </c>
      <c r="AQ8" s="86">
        <v>5150</v>
      </c>
      <c r="AR8" s="86">
        <v>5150</v>
      </c>
      <c r="AS8" s="86">
        <v>5150</v>
      </c>
      <c r="AT8" s="86">
        <v>5150</v>
      </c>
      <c r="AU8" s="86">
        <v>5150</v>
      </c>
      <c r="AV8" s="86">
        <v>5500</v>
      </c>
      <c r="AW8" s="86">
        <v>5500</v>
      </c>
      <c r="AX8" s="86">
        <v>5500</v>
      </c>
      <c r="AY8" s="86">
        <v>5500</v>
      </c>
      <c r="AZ8" s="86">
        <v>5500</v>
      </c>
      <c r="BA8" s="86">
        <v>5500</v>
      </c>
      <c r="BB8" s="86"/>
      <c r="BC8" s="86"/>
      <c r="BD8" s="86"/>
      <c r="BE8" s="86"/>
      <c r="BF8" s="86"/>
      <c r="BG8" s="68"/>
      <c r="BH8" s="68"/>
      <c r="BI8" s="1"/>
      <c r="BJ8" s="1"/>
      <c r="BK8" s="1"/>
      <c r="BL8" s="1"/>
      <c r="BM8" s="1"/>
      <c r="BN8" s="1"/>
      <c r="BO8" s="1"/>
      <c r="BP8" s="1"/>
    </row>
    <row r="9" spans="1:68" x14ac:dyDescent="0.45">
      <c r="A9" s="41" t="s">
        <v>29</v>
      </c>
      <c r="B9" s="41"/>
      <c r="C9" s="84">
        <v>2500</v>
      </c>
      <c r="D9" s="84">
        <f>13.85*1.25*C9</f>
        <v>43281.25</v>
      </c>
      <c r="E9" s="84">
        <f t="shared" ref="E9" si="1">+D9/12</f>
        <v>3606.7708333333335</v>
      </c>
      <c r="J9" s="85"/>
      <c r="K9" s="85"/>
      <c r="L9" s="85"/>
      <c r="M9" s="85"/>
      <c r="N9" s="85"/>
      <c r="O9" s="85"/>
      <c r="P9" s="85"/>
      <c r="Q9" s="85">
        <f t="shared" ref="Q9:BC9" si="2">+$E$9</f>
        <v>3606.7708333333335</v>
      </c>
      <c r="R9" s="85">
        <f t="shared" si="2"/>
        <v>3606.7708333333335</v>
      </c>
      <c r="S9" s="85">
        <f t="shared" si="2"/>
        <v>3606.7708333333335</v>
      </c>
      <c r="T9" s="85">
        <f t="shared" si="2"/>
        <v>3606.7708333333335</v>
      </c>
      <c r="U9" s="85">
        <f t="shared" si="2"/>
        <v>3606.7708333333335</v>
      </c>
      <c r="V9" s="85">
        <f t="shared" si="2"/>
        <v>3606.7708333333335</v>
      </c>
      <c r="W9" s="85">
        <f t="shared" si="2"/>
        <v>3606.7708333333335</v>
      </c>
      <c r="X9" s="85">
        <f t="shared" si="2"/>
        <v>3606.7708333333335</v>
      </c>
      <c r="Y9" s="85">
        <f t="shared" si="2"/>
        <v>3606.7708333333335</v>
      </c>
      <c r="Z9" s="85">
        <f t="shared" si="2"/>
        <v>3606.7708333333335</v>
      </c>
      <c r="AA9" s="85">
        <f t="shared" si="2"/>
        <v>3606.7708333333335</v>
      </c>
      <c r="AB9" s="85">
        <f t="shared" si="2"/>
        <v>3606.7708333333335</v>
      </c>
      <c r="AC9" s="85">
        <f t="shared" si="2"/>
        <v>3606.7708333333335</v>
      </c>
      <c r="AD9" s="85">
        <f>+$E$9*1.03</f>
        <v>3714.9739583333335</v>
      </c>
      <c r="AE9" s="85">
        <f t="shared" ref="AE9:AO9" si="3">+$E$9*1.03</f>
        <v>3714.9739583333335</v>
      </c>
      <c r="AF9" s="85">
        <f t="shared" si="3"/>
        <v>3714.9739583333335</v>
      </c>
      <c r="AG9" s="85">
        <f t="shared" si="3"/>
        <v>3714.9739583333335</v>
      </c>
      <c r="AH9" s="85">
        <f t="shared" si="3"/>
        <v>3714.9739583333335</v>
      </c>
      <c r="AI9" s="85">
        <f t="shared" si="3"/>
        <v>3714.9739583333335</v>
      </c>
      <c r="AJ9" s="85">
        <f t="shared" si="3"/>
        <v>3714.9739583333335</v>
      </c>
      <c r="AK9" s="85">
        <f t="shared" si="3"/>
        <v>3714.9739583333335</v>
      </c>
      <c r="AL9" s="85">
        <f t="shared" si="3"/>
        <v>3714.9739583333335</v>
      </c>
      <c r="AM9" s="85">
        <f t="shared" si="3"/>
        <v>3714.9739583333335</v>
      </c>
      <c r="AN9" s="85">
        <f t="shared" si="3"/>
        <v>3714.9739583333335</v>
      </c>
      <c r="AO9" s="85">
        <f t="shared" si="3"/>
        <v>3714.9739583333335</v>
      </c>
      <c r="AP9" s="85">
        <f>+AO9*1.03</f>
        <v>3826.4231770833335</v>
      </c>
      <c r="AQ9" s="85">
        <f t="shared" ref="AQ9:BA9" si="4">+AP9*1.03</f>
        <v>3941.2158723958337</v>
      </c>
      <c r="AR9" s="85">
        <f t="shared" si="4"/>
        <v>4059.4523485677087</v>
      </c>
      <c r="AS9" s="85">
        <f t="shared" si="4"/>
        <v>4181.2359190247398</v>
      </c>
      <c r="AT9" s="85">
        <f t="shared" si="4"/>
        <v>4306.6729965954819</v>
      </c>
      <c r="AU9" s="85">
        <f t="shared" si="4"/>
        <v>4435.8731864933461</v>
      </c>
      <c r="AV9" s="85">
        <f t="shared" si="4"/>
        <v>4568.9493820881462</v>
      </c>
      <c r="AW9" s="85">
        <f t="shared" si="4"/>
        <v>4706.0178635507909</v>
      </c>
      <c r="AX9" s="85">
        <f t="shared" si="4"/>
        <v>4847.1983994573147</v>
      </c>
      <c r="AY9" s="85">
        <f t="shared" si="4"/>
        <v>4992.6143514410342</v>
      </c>
      <c r="AZ9" s="85">
        <f t="shared" si="4"/>
        <v>5142.3927819842656</v>
      </c>
      <c r="BA9" s="85">
        <f t="shared" si="4"/>
        <v>5296.6645654437934</v>
      </c>
      <c r="BB9" s="85">
        <f t="shared" si="2"/>
        <v>3606.7708333333335</v>
      </c>
      <c r="BC9" s="85">
        <f t="shared" si="2"/>
        <v>3606.7708333333335</v>
      </c>
      <c r="BD9" s="85"/>
      <c r="BE9" s="85"/>
      <c r="BF9" s="85"/>
      <c r="BG9" s="68"/>
      <c r="BH9" s="68"/>
      <c r="BI9" s="1"/>
      <c r="BJ9" s="1"/>
      <c r="BK9" s="1"/>
      <c r="BL9" s="1"/>
      <c r="BM9" s="1"/>
      <c r="BN9" s="1"/>
      <c r="BO9" s="1"/>
      <c r="BP9" s="1"/>
    </row>
    <row r="10" spans="1:68" x14ac:dyDescent="0.45">
      <c r="A10" s="41" t="s">
        <v>140</v>
      </c>
      <c r="B10" s="41"/>
      <c r="C10" s="84">
        <v>2500</v>
      </c>
      <c r="D10" s="84">
        <f>13.85*1.25*C10</f>
        <v>43281.25</v>
      </c>
      <c r="E10" s="84">
        <f t="shared" ref="E10" si="5">+D10/12</f>
        <v>3606.7708333333335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>
        <f>+$E$10</f>
        <v>3606.7708333333335</v>
      </c>
      <c r="V10" s="85">
        <f t="shared" ref="V10:AC11" si="6">+$E$10</f>
        <v>3606.7708333333335</v>
      </c>
      <c r="W10" s="85">
        <f t="shared" si="6"/>
        <v>3606.7708333333335</v>
      </c>
      <c r="X10" s="85">
        <f t="shared" si="6"/>
        <v>3606.7708333333335</v>
      </c>
      <c r="Y10" s="85">
        <f t="shared" si="6"/>
        <v>3606.7708333333335</v>
      </c>
      <c r="Z10" s="85">
        <f t="shared" si="6"/>
        <v>3606.7708333333335</v>
      </c>
      <c r="AA10" s="85">
        <f t="shared" si="6"/>
        <v>3606.7708333333335</v>
      </c>
      <c r="AB10" s="85">
        <f t="shared" si="6"/>
        <v>3606.7708333333335</v>
      </c>
      <c r="AC10" s="85">
        <f t="shared" si="6"/>
        <v>3606.7708333333335</v>
      </c>
      <c r="AD10" s="85">
        <f>+$E$10*1.03</f>
        <v>3714.9739583333335</v>
      </c>
      <c r="AE10" s="85">
        <f t="shared" ref="AE10:AO11" si="7">+$E$10*1.03</f>
        <v>3714.9739583333335</v>
      </c>
      <c r="AF10" s="85">
        <f t="shared" si="7"/>
        <v>3714.9739583333335</v>
      </c>
      <c r="AG10" s="85">
        <f t="shared" si="7"/>
        <v>3714.9739583333335</v>
      </c>
      <c r="AH10" s="85">
        <f t="shared" si="7"/>
        <v>3714.9739583333335</v>
      </c>
      <c r="AI10" s="85">
        <f t="shared" si="7"/>
        <v>3714.9739583333335</v>
      </c>
      <c r="AJ10" s="85">
        <f t="shared" si="7"/>
        <v>3714.9739583333335</v>
      </c>
      <c r="AK10" s="85">
        <f t="shared" si="7"/>
        <v>3714.9739583333335</v>
      </c>
      <c r="AL10" s="85">
        <f t="shared" si="7"/>
        <v>3714.9739583333335</v>
      </c>
      <c r="AM10" s="85">
        <f t="shared" si="7"/>
        <v>3714.9739583333335</v>
      </c>
      <c r="AN10" s="85">
        <f t="shared" si="7"/>
        <v>3714.9739583333335</v>
      </c>
      <c r="AO10" s="85">
        <f t="shared" si="7"/>
        <v>3714.9739583333335</v>
      </c>
      <c r="AP10" s="85">
        <f>+AO10*1.03</f>
        <v>3826.4231770833335</v>
      </c>
      <c r="AQ10" s="85">
        <f t="shared" ref="AQ10:BA10" si="8">+AP10*1.03</f>
        <v>3941.2158723958337</v>
      </c>
      <c r="AR10" s="85">
        <f t="shared" si="8"/>
        <v>4059.4523485677087</v>
      </c>
      <c r="AS10" s="85">
        <f t="shared" si="8"/>
        <v>4181.2359190247398</v>
      </c>
      <c r="AT10" s="85">
        <f t="shared" si="8"/>
        <v>4306.6729965954819</v>
      </c>
      <c r="AU10" s="85">
        <f t="shared" si="8"/>
        <v>4435.8731864933461</v>
      </c>
      <c r="AV10" s="85">
        <f t="shared" si="8"/>
        <v>4568.9493820881462</v>
      </c>
      <c r="AW10" s="85">
        <f t="shared" si="8"/>
        <v>4706.0178635507909</v>
      </c>
      <c r="AX10" s="85">
        <f t="shared" si="8"/>
        <v>4847.1983994573147</v>
      </c>
      <c r="AY10" s="85">
        <f t="shared" si="8"/>
        <v>4992.6143514410342</v>
      </c>
      <c r="AZ10" s="85">
        <f t="shared" si="8"/>
        <v>5142.3927819842656</v>
      </c>
      <c r="BA10" s="85">
        <f t="shared" si="8"/>
        <v>5296.6645654437934</v>
      </c>
      <c r="BB10" s="85"/>
      <c r="BC10" s="85"/>
      <c r="BD10" s="85"/>
      <c r="BE10" s="85"/>
      <c r="BF10" s="85"/>
      <c r="BG10" s="68"/>
      <c r="BH10" s="68"/>
      <c r="BI10" s="1"/>
      <c r="BJ10" s="1"/>
      <c r="BK10" s="1"/>
      <c r="BL10" s="1"/>
      <c r="BM10" s="1"/>
      <c r="BN10" s="1"/>
      <c r="BO10" s="1"/>
      <c r="BP10" s="1"/>
    </row>
    <row r="11" spans="1:68" x14ac:dyDescent="0.45">
      <c r="A11" s="41" t="s">
        <v>136</v>
      </c>
      <c r="B11" s="41"/>
      <c r="C11" s="84">
        <v>2500</v>
      </c>
      <c r="D11" s="84">
        <f>13.85*1.25*C11</f>
        <v>43281.25</v>
      </c>
      <c r="E11" s="84">
        <f t="shared" ref="E11:E13" si="9">+D11/12</f>
        <v>3606.7708333333335</v>
      </c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>
        <f>+$E$10</f>
        <v>3606.7708333333335</v>
      </c>
      <c r="V11" s="85">
        <f t="shared" si="6"/>
        <v>3606.7708333333335</v>
      </c>
      <c r="W11" s="85">
        <f t="shared" si="6"/>
        <v>3606.7708333333335</v>
      </c>
      <c r="X11" s="85">
        <f t="shared" si="6"/>
        <v>3606.7708333333335</v>
      </c>
      <c r="Y11" s="85">
        <f t="shared" si="6"/>
        <v>3606.7708333333335</v>
      </c>
      <c r="Z11" s="85">
        <f t="shared" si="6"/>
        <v>3606.7708333333335</v>
      </c>
      <c r="AA11" s="85">
        <f t="shared" si="6"/>
        <v>3606.7708333333335</v>
      </c>
      <c r="AB11" s="85">
        <f t="shared" si="6"/>
        <v>3606.7708333333335</v>
      </c>
      <c r="AC11" s="85">
        <f t="shared" si="6"/>
        <v>3606.7708333333335</v>
      </c>
      <c r="AD11" s="85">
        <f>+$E$10*1.03</f>
        <v>3714.9739583333335</v>
      </c>
      <c r="AE11" s="85">
        <f t="shared" si="7"/>
        <v>3714.9739583333335</v>
      </c>
      <c r="AF11" s="85">
        <f t="shared" si="7"/>
        <v>3714.9739583333335</v>
      </c>
      <c r="AG11" s="85">
        <f t="shared" si="7"/>
        <v>3714.9739583333335</v>
      </c>
      <c r="AH11" s="85">
        <f t="shared" si="7"/>
        <v>3714.9739583333335</v>
      </c>
      <c r="AI11" s="85">
        <f t="shared" si="7"/>
        <v>3714.9739583333335</v>
      </c>
      <c r="AJ11" s="85">
        <f t="shared" si="7"/>
        <v>3714.9739583333335</v>
      </c>
      <c r="AK11" s="85">
        <f t="shared" si="7"/>
        <v>3714.9739583333335</v>
      </c>
      <c r="AL11" s="85">
        <f t="shared" si="7"/>
        <v>3714.9739583333335</v>
      </c>
      <c r="AM11" s="85">
        <f t="shared" si="7"/>
        <v>3714.9739583333335</v>
      </c>
      <c r="AN11" s="85">
        <f t="shared" si="7"/>
        <v>3714.9739583333335</v>
      </c>
      <c r="AO11" s="85">
        <f t="shared" si="7"/>
        <v>3714.9739583333335</v>
      </c>
      <c r="AP11" s="85">
        <f>+AO11*1.03</f>
        <v>3826.4231770833335</v>
      </c>
      <c r="AQ11" s="85">
        <f t="shared" ref="AQ11" si="10">+AP11*1.03</f>
        <v>3941.2158723958337</v>
      </c>
      <c r="AR11" s="85">
        <f t="shared" ref="AR11" si="11">+AQ11*1.03</f>
        <v>4059.4523485677087</v>
      </c>
      <c r="AS11" s="85">
        <f t="shared" ref="AS11" si="12">+AR11*1.03</f>
        <v>4181.2359190247398</v>
      </c>
      <c r="AT11" s="85">
        <f t="shared" ref="AT11" si="13">+AS11*1.03</f>
        <v>4306.6729965954819</v>
      </c>
      <c r="AU11" s="85">
        <f t="shared" ref="AU11" si="14">+AT11*1.03</f>
        <v>4435.8731864933461</v>
      </c>
      <c r="AV11" s="85">
        <f t="shared" ref="AV11" si="15">+AU11*1.03</f>
        <v>4568.9493820881462</v>
      </c>
      <c r="AW11" s="85">
        <f t="shared" ref="AW11" si="16">+AV11*1.03</f>
        <v>4706.0178635507909</v>
      </c>
      <c r="AX11" s="85">
        <f t="shared" ref="AX11" si="17">+AW11*1.03</f>
        <v>4847.1983994573147</v>
      </c>
      <c r="AY11" s="85">
        <f t="shared" ref="AY11" si="18">+AX11*1.03</f>
        <v>4992.6143514410342</v>
      </c>
      <c r="AZ11" s="85">
        <f t="shared" ref="AZ11" si="19">+AY11*1.03</f>
        <v>5142.3927819842656</v>
      </c>
      <c r="BA11" s="85">
        <f t="shared" ref="BA11" si="20">+AZ11*1.03</f>
        <v>5296.6645654437934</v>
      </c>
      <c r="BB11" s="85"/>
      <c r="BC11" s="85"/>
      <c r="BD11" s="85"/>
      <c r="BE11" s="85"/>
      <c r="BF11" s="85"/>
      <c r="BG11" s="90"/>
      <c r="BH11" s="90"/>
      <c r="BI11" s="1"/>
      <c r="BJ11" s="1"/>
      <c r="BK11" s="1"/>
      <c r="BL11" s="1"/>
      <c r="BM11" s="1"/>
      <c r="BN11" s="1"/>
      <c r="BO11" s="1"/>
      <c r="BP11" s="1"/>
    </row>
    <row r="12" spans="1:68" x14ac:dyDescent="0.45">
      <c r="A12" s="41" t="s">
        <v>135</v>
      </c>
      <c r="B12" s="41"/>
      <c r="C12" s="84">
        <v>2500</v>
      </c>
      <c r="D12" s="84">
        <f>13.85*1.25*C12</f>
        <v>43281.25</v>
      </c>
      <c r="E12" s="84">
        <f t="shared" si="9"/>
        <v>3606.7708333333335</v>
      </c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>
        <f t="shared" ref="Z12:BC12" si="21">+$E$9</f>
        <v>3606.7708333333335</v>
      </c>
      <c r="AA12" s="85">
        <f t="shared" si="21"/>
        <v>3606.7708333333335</v>
      </c>
      <c r="AB12" s="85">
        <f t="shared" si="21"/>
        <v>3606.7708333333335</v>
      </c>
      <c r="AC12" s="85">
        <f t="shared" si="21"/>
        <v>3606.7708333333335</v>
      </c>
      <c r="AD12" s="85">
        <f>+$E$9*1.03</f>
        <v>3714.9739583333335</v>
      </c>
      <c r="AE12" s="85">
        <f t="shared" ref="AE12:AO13" si="22">+$E$9*1.03</f>
        <v>3714.9739583333335</v>
      </c>
      <c r="AF12" s="85">
        <f t="shared" si="22"/>
        <v>3714.9739583333335</v>
      </c>
      <c r="AG12" s="85">
        <f t="shared" si="22"/>
        <v>3714.9739583333335</v>
      </c>
      <c r="AH12" s="85">
        <f t="shared" si="22"/>
        <v>3714.9739583333335</v>
      </c>
      <c r="AI12" s="85">
        <f t="shared" si="22"/>
        <v>3714.9739583333335</v>
      </c>
      <c r="AJ12" s="85">
        <f t="shared" si="22"/>
        <v>3714.9739583333335</v>
      </c>
      <c r="AK12" s="85">
        <f t="shared" si="22"/>
        <v>3714.9739583333335</v>
      </c>
      <c r="AL12" s="85">
        <f t="shared" si="22"/>
        <v>3714.9739583333335</v>
      </c>
      <c r="AM12" s="85">
        <f t="shared" si="22"/>
        <v>3714.9739583333335</v>
      </c>
      <c r="AN12" s="85">
        <f t="shared" si="22"/>
        <v>3714.9739583333335</v>
      </c>
      <c r="AO12" s="85">
        <f t="shared" si="22"/>
        <v>3714.9739583333335</v>
      </c>
      <c r="AP12" s="85">
        <f>+AO12*1.03</f>
        <v>3826.4231770833335</v>
      </c>
      <c r="AQ12" s="85">
        <f t="shared" ref="AQ12" si="23">+AP12*1.03</f>
        <v>3941.2158723958337</v>
      </c>
      <c r="AR12" s="85">
        <f t="shared" ref="AR12" si="24">+AQ12*1.03</f>
        <v>4059.4523485677087</v>
      </c>
      <c r="AS12" s="85">
        <f t="shared" ref="AS12" si="25">+AR12*1.03</f>
        <v>4181.2359190247398</v>
      </c>
      <c r="AT12" s="85">
        <f t="shared" ref="AT12" si="26">+AS12*1.03</f>
        <v>4306.6729965954819</v>
      </c>
      <c r="AU12" s="85">
        <f t="shared" ref="AU12" si="27">+AT12*1.03</f>
        <v>4435.8731864933461</v>
      </c>
      <c r="AV12" s="85">
        <f t="shared" ref="AV12" si="28">+AU12*1.03</f>
        <v>4568.9493820881462</v>
      </c>
      <c r="AW12" s="85">
        <f t="shared" ref="AW12" si="29">+AV12*1.03</f>
        <v>4706.0178635507909</v>
      </c>
      <c r="AX12" s="85">
        <f t="shared" ref="AX12" si="30">+AW12*1.03</f>
        <v>4847.1983994573147</v>
      </c>
      <c r="AY12" s="85">
        <f t="shared" ref="AY12" si="31">+AX12*1.03</f>
        <v>4992.6143514410342</v>
      </c>
      <c r="AZ12" s="85">
        <f t="shared" ref="AZ12" si="32">+AY12*1.03</f>
        <v>5142.3927819842656</v>
      </c>
      <c r="BA12" s="85">
        <f t="shared" ref="BA12" si="33">+AZ12*1.03</f>
        <v>5296.6645654437934</v>
      </c>
      <c r="BB12" s="85">
        <f t="shared" si="21"/>
        <v>3606.7708333333335</v>
      </c>
      <c r="BC12" s="85">
        <f t="shared" si="21"/>
        <v>3606.7708333333335</v>
      </c>
      <c r="BD12" s="85"/>
      <c r="BE12" s="85"/>
      <c r="BF12" s="85"/>
      <c r="BG12" s="90"/>
      <c r="BH12" s="90"/>
      <c r="BI12" s="1"/>
      <c r="BJ12" s="1"/>
      <c r="BK12" s="1"/>
      <c r="BL12" s="1"/>
      <c r="BM12" s="1"/>
      <c r="BN12" s="1"/>
      <c r="BO12" s="1"/>
      <c r="BP12" s="1"/>
    </row>
    <row r="13" spans="1:68" x14ac:dyDescent="0.45">
      <c r="A13" s="41" t="s">
        <v>137</v>
      </c>
      <c r="C13" s="84">
        <v>2500</v>
      </c>
      <c r="D13" s="84">
        <f>13.85*1.25*C13</f>
        <v>43281.25</v>
      </c>
      <c r="E13" s="84">
        <f t="shared" si="9"/>
        <v>3606.7708333333335</v>
      </c>
      <c r="AD13" s="85">
        <f>+$E$9*1.03</f>
        <v>3714.9739583333335</v>
      </c>
      <c r="AE13" s="85">
        <f t="shared" si="22"/>
        <v>3714.9739583333335</v>
      </c>
      <c r="AF13" s="85">
        <f t="shared" si="22"/>
        <v>3714.9739583333335</v>
      </c>
      <c r="AG13" s="85">
        <f t="shared" si="22"/>
        <v>3714.9739583333335</v>
      </c>
      <c r="AH13" s="85">
        <f t="shared" si="22"/>
        <v>3714.9739583333335</v>
      </c>
      <c r="AI13" s="85">
        <f t="shared" si="22"/>
        <v>3714.9739583333335</v>
      </c>
      <c r="AJ13" s="85">
        <f t="shared" si="22"/>
        <v>3714.9739583333335</v>
      </c>
      <c r="AK13" s="85">
        <f t="shared" si="22"/>
        <v>3714.9739583333335</v>
      </c>
      <c r="AL13" s="85">
        <f t="shared" si="22"/>
        <v>3714.9739583333335</v>
      </c>
      <c r="AM13" s="85">
        <f t="shared" si="22"/>
        <v>3714.9739583333335</v>
      </c>
      <c r="AN13" s="85">
        <f t="shared" si="22"/>
        <v>3714.9739583333335</v>
      </c>
      <c r="AO13" s="85">
        <f t="shared" si="22"/>
        <v>3714.9739583333335</v>
      </c>
      <c r="AP13" s="85">
        <f>+AO13*1.03</f>
        <v>3826.4231770833335</v>
      </c>
      <c r="AQ13" s="85">
        <f t="shared" ref="AQ13" si="34">+AP13*1.03</f>
        <v>3941.2158723958337</v>
      </c>
      <c r="AR13" s="85">
        <f t="shared" ref="AR13" si="35">+AQ13*1.03</f>
        <v>4059.4523485677087</v>
      </c>
      <c r="AS13" s="85">
        <f t="shared" ref="AS13" si="36">+AR13*1.03</f>
        <v>4181.2359190247398</v>
      </c>
      <c r="AT13" s="85">
        <f t="shared" ref="AT13" si="37">+AS13*1.03</f>
        <v>4306.6729965954819</v>
      </c>
      <c r="AU13" s="85">
        <f t="shared" ref="AU13" si="38">+AT13*1.03</f>
        <v>4435.8731864933461</v>
      </c>
      <c r="AV13" s="85">
        <f t="shared" ref="AV13" si="39">+AU13*1.03</f>
        <v>4568.9493820881462</v>
      </c>
      <c r="AW13" s="85">
        <f t="shared" ref="AW13" si="40">+AV13*1.03</f>
        <v>4706.0178635507909</v>
      </c>
      <c r="AX13" s="85">
        <f t="shared" ref="AX13" si="41">+AW13*1.03</f>
        <v>4847.1983994573147</v>
      </c>
      <c r="AY13" s="85">
        <f t="shared" ref="AY13" si="42">+AX13*1.03</f>
        <v>4992.6143514410342</v>
      </c>
      <c r="AZ13" s="85">
        <f t="shared" ref="AZ13" si="43">+AY13*1.03</f>
        <v>5142.3927819842656</v>
      </c>
      <c r="BA13" s="85">
        <f t="shared" ref="BA13" si="44">+AZ13*1.03</f>
        <v>5296.6645654437934</v>
      </c>
    </row>
    <row r="14" spans="1:68" x14ac:dyDescent="0.45">
      <c r="E14" s="41"/>
    </row>
    <row r="15" spans="1:68" x14ac:dyDescent="0.45">
      <c r="E15" s="41"/>
    </row>
    <row r="16" spans="1:68" x14ac:dyDescent="0.45">
      <c r="AD16" t="s">
        <v>124</v>
      </c>
    </row>
    <row r="17" spans="1:53" ht="14.65" thickBot="1" x14ac:dyDescent="0.5"/>
    <row r="18" spans="1:53" s="69" customFormat="1" ht="14.65" thickBot="1" x14ac:dyDescent="0.5">
      <c r="A18" s="70" t="s">
        <v>109</v>
      </c>
      <c r="B18" s="71"/>
      <c r="C18" s="71"/>
      <c r="D18" s="71"/>
      <c r="E18" s="71"/>
      <c r="F18" s="71"/>
      <c r="G18" s="71"/>
      <c r="H18" s="71"/>
      <c r="I18" s="71"/>
      <c r="J18" s="71">
        <f t="shared" ref="J18:BA18" si="45">SUM(J7:J17)</f>
        <v>0</v>
      </c>
      <c r="K18" s="71">
        <f t="shared" si="45"/>
        <v>0</v>
      </c>
      <c r="L18" s="71">
        <f t="shared" si="45"/>
        <v>0</v>
      </c>
      <c r="M18" s="71">
        <f t="shared" si="45"/>
        <v>2000</v>
      </c>
      <c r="N18" s="71">
        <f t="shared" si="45"/>
        <v>2000</v>
      </c>
      <c r="O18" s="71">
        <f t="shared" si="45"/>
        <v>2000</v>
      </c>
      <c r="P18" s="71">
        <f t="shared" si="45"/>
        <v>4000</v>
      </c>
      <c r="Q18" s="71">
        <f t="shared" si="45"/>
        <v>8606.7708333333339</v>
      </c>
      <c r="R18" s="71">
        <f t="shared" si="45"/>
        <v>9356.7708333333339</v>
      </c>
      <c r="S18" s="71">
        <f t="shared" si="45"/>
        <v>9356.7708333333339</v>
      </c>
      <c r="T18" s="71">
        <f t="shared" si="45"/>
        <v>9356.7708333333339</v>
      </c>
      <c r="U18" s="71">
        <f t="shared" si="45"/>
        <v>19320.3125</v>
      </c>
      <c r="V18" s="71">
        <f t="shared" si="45"/>
        <v>19320.3125</v>
      </c>
      <c r="W18" s="71">
        <f t="shared" si="45"/>
        <v>19320.3125</v>
      </c>
      <c r="X18" s="71">
        <f t="shared" si="45"/>
        <v>19320.3125</v>
      </c>
      <c r="Y18" s="71">
        <f t="shared" si="45"/>
        <v>19320.3125</v>
      </c>
      <c r="Z18" s="71">
        <f t="shared" si="45"/>
        <v>22927.083333333332</v>
      </c>
      <c r="AA18" s="71">
        <f t="shared" si="45"/>
        <v>22927.083333333332</v>
      </c>
      <c r="AB18" s="71">
        <f t="shared" si="45"/>
        <v>22927.083333333332</v>
      </c>
      <c r="AC18" s="71">
        <f t="shared" si="45"/>
        <v>22927.083333333332</v>
      </c>
      <c r="AD18" s="71">
        <f t="shared" si="45"/>
        <v>29074.869791666664</v>
      </c>
      <c r="AE18" s="71">
        <f t="shared" si="45"/>
        <v>29074.869791666664</v>
      </c>
      <c r="AF18" s="71">
        <f t="shared" si="45"/>
        <v>29074.869791666664</v>
      </c>
      <c r="AG18" s="71">
        <f t="shared" si="45"/>
        <v>29074.869791666664</v>
      </c>
      <c r="AH18" s="71">
        <f t="shared" si="45"/>
        <v>29074.869791666664</v>
      </c>
      <c r="AI18" s="71">
        <f t="shared" si="45"/>
        <v>29074.869791666664</v>
      </c>
      <c r="AJ18" s="71">
        <f t="shared" si="45"/>
        <v>29074.869791666664</v>
      </c>
      <c r="AK18" s="71">
        <f t="shared" si="45"/>
        <v>29074.869791666664</v>
      </c>
      <c r="AL18" s="71">
        <f t="shared" si="45"/>
        <v>29074.869791666664</v>
      </c>
      <c r="AM18" s="71">
        <f t="shared" si="45"/>
        <v>29074.869791666664</v>
      </c>
      <c r="AN18" s="71">
        <f t="shared" si="45"/>
        <v>29074.869791666664</v>
      </c>
      <c r="AO18" s="71">
        <f t="shared" si="45"/>
        <v>29074.869791666664</v>
      </c>
      <c r="AP18" s="71">
        <f t="shared" si="45"/>
        <v>30782.115885416664</v>
      </c>
      <c r="AQ18" s="71">
        <f t="shared" si="45"/>
        <v>31356.079361979173</v>
      </c>
      <c r="AR18" s="71">
        <f t="shared" si="45"/>
        <v>31947.261742838546</v>
      </c>
      <c r="AS18" s="71">
        <f t="shared" si="45"/>
        <v>32556.179595123704</v>
      </c>
      <c r="AT18" s="71">
        <f t="shared" si="45"/>
        <v>33183.364982977408</v>
      </c>
      <c r="AU18" s="71">
        <f t="shared" si="45"/>
        <v>33829.365932466731</v>
      </c>
      <c r="AV18" s="71">
        <f t="shared" si="45"/>
        <v>34844.746910440736</v>
      </c>
      <c r="AW18" s="71">
        <f t="shared" si="45"/>
        <v>35530.089317753955</v>
      </c>
      <c r="AX18" s="71">
        <f t="shared" si="45"/>
        <v>36235.991997286583</v>
      </c>
      <c r="AY18" s="71">
        <f t="shared" si="45"/>
        <v>36963.07175720518</v>
      </c>
      <c r="AZ18" s="71">
        <f t="shared" si="45"/>
        <v>37711.963909921324</v>
      </c>
      <c r="BA18" s="72">
        <f t="shared" si="45"/>
        <v>38483.322827218966</v>
      </c>
    </row>
  </sheetData>
  <mergeCells count="5">
    <mergeCell ref="F1:Q1"/>
    <mergeCell ref="R1:AC1"/>
    <mergeCell ref="AD1:AO1"/>
    <mergeCell ref="AP1:BA1"/>
    <mergeCell ref="BB1:B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106"/>
  <sheetViews>
    <sheetView tabSelected="1" zoomScale="80" zoomScaleNormal="80" zoomScalePageLayoutView="80" workbookViewId="0">
      <pane xSplit="1" ySplit="3" topLeftCell="R75" activePane="bottomRight" state="frozen"/>
      <selection pane="topRight" activeCell="B1" sqref="B1"/>
      <selection pane="bottomLeft" activeCell="A4" sqref="A4"/>
      <selection pane="bottomRight" activeCell="M18" sqref="M18"/>
    </sheetView>
  </sheetViews>
  <sheetFormatPr baseColWidth="10" defaultColWidth="11.3984375" defaultRowHeight="14.25" outlineLevelRow="1" x14ac:dyDescent="0.45"/>
  <cols>
    <col min="1" max="1" width="42.265625" customWidth="1"/>
    <col min="2" max="4" width="16" hidden="1" customWidth="1"/>
    <col min="5" max="5" width="16.86328125" customWidth="1"/>
    <col min="6" max="10" width="17" customWidth="1"/>
    <col min="11" max="18" width="17" bestFit="1" customWidth="1"/>
    <col min="19" max="20" width="17.3984375" bestFit="1" customWidth="1"/>
    <col min="21" max="22" width="17" bestFit="1" customWidth="1"/>
    <col min="23" max="24" width="17.3984375" bestFit="1" customWidth="1"/>
    <col min="25" max="25" width="17" bestFit="1" customWidth="1"/>
    <col min="26" max="26" width="17.3984375" bestFit="1" customWidth="1"/>
    <col min="27" max="27" width="18.265625" bestFit="1" customWidth="1"/>
    <col min="28" max="47" width="18.3984375" bestFit="1" customWidth="1"/>
    <col min="48" max="49" width="19.73046875" customWidth="1"/>
    <col min="50" max="52" width="19.73046875" hidden="1" customWidth="1"/>
    <col min="53" max="53" width="20.3984375" hidden="1" customWidth="1"/>
    <col min="54" max="54" width="22.1328125" hidden="1" customWidth="1"/>
    <col min="55" max="55" width="20.265625" hidden="1" customWidth="1"/>
    <col min="56" max="56" width="21.86328125" hidden="1" customWidth="1"/>
    <col min="57" max="57" width="19.265625" hidden="1" customWidth="1"/>
    <col min="58" max="60" width="19.3984375" hidden="1" customWidth="1"/>
    <col min="61" max="61" width="19.3984375" style="3" hidden="1" customWidth="1"/>
    <col min="62" max="62" width="16.73046875" bestFit="1" customWidth="1"/>
  </cols>
  <sheetData>
    <row r="1" spans="1:61" x14ac:dyDescent="0.45">
      <c r="B1" s="139" t="s">
        <v>31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 t="s">
        <v>32</v>
      </c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1" t="s">
        <v>33</v>
      </c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 t="s">
        <v>34</v>
      </c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 t="s">
        <v>35</v>
      </c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</row>
    <row r="2" spans="1:61" x14ac:dyDescent="0.45">
      <c r="B2" s="6">
        <v>43466</v>
      </c>
      <c r="C2" s="6">
        <v>43497</v>
      </c>
      <c r="D2" s="6">
        <v>43525</v>
      </c>
      <c r="E2" s="6">
        <v>43191</v>
      </c>
      <c r="F2" s="6">
        <v>43221</v>
      </c>
      <c r="G2" s="6">
        <v>43252</v>
      </c>
      <c r="H2" s="6">
        <v>43282</v>
      </c>
      <c r="I2" s="6">
        <v>43313</v>
      </c>
      <c r="J2" s="6">
        <v>43344</v>
      </c>
      <c r="K2" s="6">
        <v>43374</v>
      </c>
      <c r="L2" s="6">
        <v>43405</v>
      </c>
      <c r="M2" s="6">
        <v>43435</v>
      </c>
      <c r="N2" s="6">
        <v>43466</v>
      </c>
      <c r="O2" s="6">
        <v>43497</v>
      </c>
      <c r="P2" s="6">
        <v>43525</v>
      </c>
      <c r="Q2" s="6">
        <v>43556</v>
      </c>
      <c r="R2" s="6">
        <v>43586</v>
      </c>
      <c r="S2" s="6">
        <v>43617</v>
      </c>
      <c r="T2" s="6">
        <v>43647</v>
      </c>
      <c r="U2" s="6">
        <v>43678</v>
      </c>
      <c r="V2" s="6">
        <v>43709</v>
      </c>
      <c r="W2" s="6">
        <v>43739</v>
      </c>
      <c r="X2" s="6">
        <v>43770</v>
      </c>
      <c r="Y2" s="6">
        <v>43800</v>
      </c>
      <c r="Z2" s="6">
        <v>43831</v>
      </c>
      <c r="AA2" s="6">
        <v>43862</v>
      </c>
      <c r="AB2" s="6">
        <v>43891</v>
      </c>
      <c r="AC2" s="6">
        <v>43922</v>
      </c>
      <c r="AD2" s="6">
        <v>43952</v>
      </c>
      <c r="AE2" s="6">
        <v>43983</v>
      </c>
      <c r="AF2" s="6">
        <v>44013</v>
      </c>
      <c r="AG2" s="6">
        <v>44044</v>
      </c>
      <c r="AH2" s="6">
        <v>44075</v>
      </c>
      <c r="AI2" s="6">
        <v>44105</v>
      </c>
      <c r="AJ2" s="6">
        <v>44136</v>
      </c>
      <c r="AK2" s="6">
        <v>44166</v>
      </c>
      <c r="AL2" s="6">
        <v>44197</v>
      </c>
      <c r="AM2" s="6">
        <v>44228</v>
      </c>
      <c r="AN2" s="6">
        <v>44256</v>
      </c>
      <c r="AO2" s="6">
        <v>44287</v>
      </c>
      <c r="AP2" s="6">
        <v>44317</v>
      </c>
      <c r="AQ2" s="6">
        <v>44348</v>
      </c>
      <c r="AR2" s="6">
        <v>44378</v>
      </c>
      <c r="AS2" s="6">
        <v>44409</v>
      </c>
      <c r="AT2" s="6">
        <v>44440</v>
      </c>
      <c r="AU2" s="6">
        <v>44470</v>
      </c>
      <c r="AV2" s="6">
        <v>44501</v>
      </c>
      <c r="AW2" s="6">
        <v>44531</v>
      </c>
      <c r="AX2" s="6">
        <v>44562</v>
      </c>
      <c r="AY2" s="6">
        <v>44593</v>
      </c>
      <c r="AZ2" s="6">
        <v>44621</v>
      </c>
      <c r="BA2" s="6">
        <v>44652</v>
      </c>
      <c r="BB2" s="6">
        <v>44682</v>
      </c>
      <c r="BC2" s="6">
        <v>44713</v>
      </c>
      <c r="BD2" s="6">
        <v>44743</v>
      </c>
      <c r="BE2" s="6">
        <v>44774</v>
      </c>
      <c r="BF2" s="6">
        <v>44805</v>
      </c>
      <c r="BG2" s="6">
        <v>44835</v>
      </c>
      <c r="BH2" s="6">
        <v>44866</v>
      </c>
      <c r="BI2" s="6">
        <v>44896</v>
      </c>
    </row>
    <row r="3" spans="1:61" x14ac:dyDescent="0.45">
      <c r="B3" s="3">
        <v>1</v>
      </c>
      <c r="C3" s="3">
        <f>1+B3</f>
        <v>2</v>
      </c>
      <c r="D3" s="3">
        <f t="shared" ref="D3:BI3" si="0">1+C3</f>
        <v>3</v>
      </c>
      <c r="E3" s="3">
        <v>1</v>
      </c>
      <c r="F3" s="3">
        <f t="shared" si="0"/>
        <v>2</v>
      </c>
      <c r="G3" s="3">
        <f t="shared" si="0"/>
        <v>3</v>
      </c>
      <c r="H3" s="3">
        <f t="shared" si="0"/>
        <v>4</v>
      </c>
      <c r="I3" s="3">
        <f t="shared" si="0"/>
        <v>5</v>
      </c>
      <c r="J3" s="3">
        <f t="shared" si="0"/>
        <v>6</v>
      </c>
      <c r="K3" s="3">
        <f t="shared" si="0"/>
        <v>7</v>
      </c>
      <c r="L3" s="3">
        <f t="shared" si="0"/>
        <v>8</v>
      </c>
      <c r="M3" s="7">
        <f t="shared" si="0"/>
        <v>9</v>
      </c>
      <c r="N3" s="3">
        <f t="shared" si="0"/>
        <v>10</v>
      </c>
      <c r="O3" s="3">
        <f t="shared" si="0"/>
        <v>11</v>
      </c>
      <c r="P3" s="3">
        <f t="shared" si="0"/>
        <v>12</v>
      </c>
      <c r="Q3" s="3">
        <f t="shared" si="0"/>
        <v>13</v>
      </c>
      <c r="R3" s="3">
        <f t="shared" si="0"/>
        <v>14</v>
      </c>
      <c r="S3" s="3">
        <f t="shared" si="0"/>
        <v>15</v>
      </c>
      <c r="T3" s="3">
        <f t="shared" si="0"/>
        <v>16</v>
      </c>
      <c r="U3" s="3">
        <f t="shared" si="0"/>
        <v>17</v>
      </c>
      <c r="V3" s="3">
        <f t="shared" si="0"/>
        <v>18</v>
      </c>
      <c r="W3" s="3">
        <f t="shared" si="0"/>
        <v>19</v>
      </c>
      <c r="X3" s="3">
        <f t="shared" si="0"/>
        <v>20</v>
      </c>
      <c r="Y3" s="7">
        <f t="shared" si="0"/>
        <v>21</v>
      </c>
      <c r="Z3" s="3">
        <f t="shared" si="0"/>
        <v>22</v>
      </c>
      <c r="AA3" s="3">
        <f t="shared" si="0"/>
        <v>23</v>
      </c>
      <c r="AB3" s="3">
        <f t="shared" si="0"/>
        <v>24</v>
      </c>
      <c r="AC3" s="3">
        <f t="shared" si="0"/>
        <v>25</v>
      </c>
      <c r="AD3" s="3">
        <f t="shared" si="0"/>
        <v>26</v>
      </c>
      <c r="AE3" s="3">
        <f t="shared" si="0"/>
        <v>27</v>
      </c>
      <c r="AF3" s="3">
        <f t="shared" si="0"/>
        <v>28</v>
      </c>
      <c r="AG3" s="3">
        <f t="shared" si="0"/>
        <v>29</v>
      </c>
      <c r="AH3" s="3">
        <f t="shared" si="0"/>
        <v>30</v>
      </c>
      <c r="AI3" s="3">
        <f t="shared" si="0"/>
        <v>31</v>
      </c>
      <c r="AJ3" s="3">
        <f t="shared" si="0"/>
        <v>32</v>
      </c>
      <c r="AK3" s="7">
        <f t="shared" si="0"/>
        <v>33</v>
      </c>
      <c r="AL3" s="3">
        <f t="shared" si="0"/>
        <v>34</v>
      </c>
      <c r="AM3" s="3">
        <f t="shared" si="0"/>
        <v>35</v>
      </c>
      <c r="AN3" s="3">
        <f t="shared" si="0"/>
        <v>36</v>
      </c>
      <c r="AO3" s="3">
        <f t="shared" si="0"/>
        <v>37</v>
      </c>
      <c r="AP3" s="3">
        <f t="shared" si="0"/>
        <v>38</v>
      </c>
      <c r="AQ3" s="3">
        <f t="shared" si="0"/>
        <v>39</v>
      </c>
      <c r="AR3" s="3">
        <f t="shared" si="0"/>
        <v>40</v>
      </c>
      <c r="AS3" s="3">
        <f t="shared" si="0"/>
        <v>41</v>
      </c>
      <c r="AT3" s="3">
        <f t="shared" si="0"/>
        <v>42</v>
      </c>
      <c r="AU3" s="3">
        <f t="shared" si="0"/>
        <v>43</v>
      </c>
      <c r="AV3" s="3">
        <f t="shared" si="0"/>
        <v>44</v>
      </c>
      <c r="AW3" s="7">
        <f t="shared" si="0"/>
        <v>45</v>
      </c>
      <c r="AX3" s="3">
        <f t="shared" si="0"/>
        <v>46</v>
      </c>
      <c r="AY3" s="3">
        <f t="shared" si="0"/>
        <v>47</v>
      </c>
      <c r="AZ3" s="3">
        <f t="shared" si="0"/>
        <v>48</v>
      </c>
      <c r="BA3" s="3">
        <f t="shared" si="0"/>
        <v>49</v>
      </c>
      <c r="BB3" s="3">
        <f t="shared" si="0"/>
        <v>50</v>
      </c>
      <c r="BC3" s="3">
        <f t="shared" si="0"/>
        <v>51</v>
      </c>
      <c r="BD3" s="3">
        <f t="shared" si="0"/>
        <v>52</v>
      </c>
      <c r="BE3" s="3">
        <f t="shared" si="0"/>
        <v>53</v>
      </c>
      <c r="BF3" s="3">
        <f t="shared" si="0"/>
        <v>54</v>
      </c>
      <c r="BG3" s="3">
        <f t="shared" si="0"/>
        <v>55</v>
      </c>
      <c r="BH3" s="3">
        <f t="shared" si="0"/>
        <v>56</v>
      </c>
      <c r="BI3" s="7">
        <f t="shared" si="0"/>
        <v>57</v>
      </c>
    </row>
    <row r="4" spans="1:61" s="8" customFormat="1" x14ac:dyDescent="0.45">
      <c r="A4" s="8" t="s">
        <v>36</v>
      </c>
      <c r="B4" s="8">
        <f>SUM(B9:B11)</f>
        <v>0</v>
      </c>
      <c r="C4" s="8">
        <f>SUM(C9:C11)</f>
        <v>0</v>
      </c>
      <c r="D4" s="8">
        <f>SUM(D9:D11)</f>
        <v>0</v>
      </c>
      <c r="E4" s="97"/>
      <c r="F4" s="97"/>
      <c r="G4" s="97"/>
      <c r="H4" s="97"/>
      <c r="I4" s="97"/>
      <c r="J4" s="97"/>
      <c r="K4" s="97"/>
      <c r="L4" s="97"/>
      <c r="M4" s="97"/>
      <c r="N4" s="97">
        <f>N5*Hypothèses!$D$13</f>
        <v>27201.652892561986</v>
      </c>
      <c r="O4" s="97">
        <f>O5*Hypothèses!$D$13</f>
        <v>31087.603305785127</v>
      </c>
      <c r="P4" s="97">
        <f>P5*Hypothèses!$D$13</f>
        <v>34973.553719008269</v>
      </c>
      <c r="Q4" s="97">
        <f>Q5*Hypothèses!$D$13</f>
        <v>38859.504132231406</v>
      </c>
      <c r="R4" s="97">
        <f>R5*Hypothèses!$D$13</f>
        <v>66061.1570247934</v>
      </c>
      <c r="S4" s="97">
        <f>S5*Hypothèses!$D$13</f>
        <v>74610.247933884297</v>
      </c>
      <c r="T4" s="97">
        <f>T5*Hypothèses!$D$13</f>
        <v>83159.338842975209</v>
      </c>
      <c r="U4" s="97">
        <f>U5*Hypothèses!$D$13</f>
        <v>91708.42975206612</v>
      </c>
      <c r="V4" s="97">
        <f>V5*Hypothèses!$D$13</f>
        <v>127459.17355371901</v>
      </c>
      <c r="W4" s="97">
        <f>W5*Hypothèses!$D$13</f>
        <v>143780.1652892562</v>
      </c>
      <c r="X4" s="97">
        <f>X5*Hypothèses!$D$13</f>
        <v>160101.15702479339</v>
      </c>
      <c r="Y4" s="97">
        <f>Y5*Hypothèses!$D$13</f>
        <v>178753.71900826448</v>
      </c>
      <c r="Z4" s="97">
        <f>Z5*Hypothèses!$D$13</f>
        <v>202069.42148760331</v>
      </c>
      <c r="AA4" s="97">
        <f>AA5*Hypothèses!$D$13</f>
        <v>225385.12396694216</v>
      </c>
      <c r="AB4" s="97">
        <f>AB5*Hypothèses!$D$13</f>
        <v>248700.82644628102</v>
      </c>
      <c r="AC4" s="97">
        <f>AC5*Hypothèses!$D$13</f>
        <v>272016.52892561984</v>
      </c>
      <c r="AD4" s="97">
        <f>AD5*Hypothèses!$D$13</f>
        <v>295332.2314049587</v>
      </c>
      <c r="AE4" s="97">
        <f>AE5*Hypothèses!$D$13</f>
        <v>318647.93388429756</v>
      </c>
      <c r="AF4" s="97">
        <f>AF5*Hypothèses!$D$13</f>
        <v>334191.73553719011</v>
      </c>
      <c r="AG4" s="97">
        <f>AG5*Hypothèses!$D$13</f>
        <v>349735.53719008266</v>
      </c>
      <c r="AH4" s="97">
        <f>AH5*Hypothèses!$D$13</f>
        <v>373051.23966942151</v>
      </c>
      <c r="AI4" s="97">
        <f>AI5*Hypothèses!$D$13</f>
        <v>396366.94214876037</v>
      </c>
      <c r="AJ4" s="97">
        <f>AJ5*Hypothèses!$D$13</f>
        <v>419682.64462809922</v>
      </c>
      <c r="AK4" s="97">
        <f>AK5*Hypothèses!$D$13</f>
        <v>442998.34710743802</v>
      </c>
      <c r="AL4" s="97">
        <f>AL5*Hypothèses!$D$13</f>
        <v>470200.00000000006</v>
      </c>
      <c r="AM4" s="97">
        <f>AM5*Hypothèses!$D$13</f>
        <v>497401.65289256204</v>
      </c>
      <c r="AN4" s="97">
        <f>AN5*Hypothèses!$D$13</f>
        <v>524603.30578512396</v>
      </c>
      <c r="AO4" s="97">
        <f>AO5*Hypothèses!$D$13</f>
        <v>551804.95867768594</v>
      </c>
      <c r="AP4" s="97">
        <f>AP5*Hypothèses!$D$13</f>
        <v>579006.61157024791</v>
      </c>
      <c r="AQ4" s="97">
        <f>AQ5*Hypothèses!$D$13</f>
        <v>606208.26446281001</v>
      </c>
      <c r="AR4" s="97">
        <f>AR5*Hypothèses!$D$13</f>
        <v>625638.01652892563</v>
      </c>
      <c r="AS4" s="97">
        <f>AS5*Hypothèses!$D$13</f>
        <v>645067.76859504136</v>
      </c>
      <c r="AT4" s="97">
        <f>AT5*Hypothèses!$D$13</f>
        <v>672269.42148760334</v>
      </c>
      <c r="AU4" s="97">
        <f>AU5*Hypothèses!$D$13</f>
        <v>699471.07438016532</v>
      </c>
      <c r="AV4" s="97">
        <f>AV5*Hypothèses!$D$13</f>
        <v>734444.62809917366</v>
      </c>
      <c r="AW4" s="97">
        <f>AW5*Hypothèses!$D$13</f>
        <v>777190.08264462813</v>
      </c>
      <c r="AX4" s="97">
        <f>AX5*Hypothèses!$D$13</f>
        <v>0</v>
      </c>
      <c r="AY4" s="97">
        <f>AY5*Hypothèses!$D$13</f>
        <v>0</v>
      </c>
      <c r="AZ4" s="97">
        <f>AZ5*Hypothèses!$D$13</f>
        <v>0</v>
      </c>
      <c r="BA4" s="97">
        <f>BA5*Hypothèses!$D$13</f>
        <v>0</v>
      </c>
      <c r="BB4" s="97">
        <f>BB5*Hypothèses!$D$13</f>
        <v>0</v>
      </c>
      <c r="BC4" s="97">
        <f>BC5*Hypothèses!$D$13</f>
        <v>0</v>
      </c>
      <c r="BD4" s="97">
        <f>BD5*Hypothèses!$D$13</f>
        <v>0</v>
      </c>
      <c r="BE4" s="97">
        <f>BE5*Hypothèses!$D$13</f>
        <v>0</v>
      </c>
      <c r="BF4" s="97">
        <f>BF5*Hypothèses!$D$13</f>
        <v>0</v>
      </c>
      <c r="BG4" s="97">
        <f>BG5*Hypothèses!$D$13</f>
        <v>0</v>
      </c>
      <c r="BH4" s="97">
        <f>BH5*Hypothèses!$D$13</f>
        <v>0</v>
      </c>
      <c r="BI4" s="97">
        <f>BI5*Hypothèses!$D$13</f>
        <v>0</v>
      </c>
    </row>
    <row r="5" spans="1:61" s="89" customFormat="1" ht="17.25" customHeight="1" x14ac:dyDescent="0.45">
      <c r="A5" s="8" t="s">
        <v>127</v>
      </c>
      <c r="B5" s="8"/>
      <c r="C5" s="8"/>
      <c r="D5" s="8"/>
      <c r="E5" s="8"/>
      <c r="F5" s="8"/>
      <c r="G5" s="8"/>
      <c r="H5" s="8"/>
      <c r="I5" s="8"/>
      <c r="J5" s="8"/>
      <c r="K5" s="8"/>
      <c r="L5" s="92"/>
      <c r="M5" s="92"/>
      <c r="N5" s="92">
        <f>SUM(N6:N8)</f>
        <v>350</v>
      </c>
      <c r="O5" s="92">
        <f t="shared" ref="O5:AW5" si="1">SUM(O6:O8)</f>
        <v>400</v>
      </c>
      <c r="P5" s="92">
        <f t="shared" si="1"/>
        <v>450</v>
      </c>
      <c r="Q5" s="92">
        <f t="shared" si="1"/>
        <v>500</v>
      </c>
      <c r="R5" s="92">
        <f t="shared" si="1"/>
        <v>850</v>
      </c>
      <c r="S5" s="92">
        <f t="shared" si="1"/>
        <v>960</v>
      </c>
      <c r="T5" s="92">
        <f t="shared" si="1"/>
        <v>1070</v>
      </c>
      <c r="U5" s="92">
        <f t="shared" si="1"/>
        <v>1180</v>
      </c>
      <c r="V5" s="92">
        <f t="shared" si="1"/>
        <v>1640</v>
      </c>
      <c r="W5" s="92">
        <f t="shared" si="1"/>
        <v>1850</v>
      </c>
      <c r="X5" s="92">
        <f t="shared" si="1"/>
        <v>2060</v>
      </c>
      <c r="Y5" s="92">
        <f t="shared" si="1"/>
        <v>2300</v>
      </c>
      <c r="Z5" s="92">
        <f t="shared" si="1"/>
        <v>2600</v>
      </c>
      <c r="AA5" s="92">
        <f t="shared" si="1"/>
        <v>2900</v>
      </c>
      <c r="AB5" s="92">
        <f t="shared" si="1"/>
        <v>3200</v>
      </c>
      <c r="AC5" s="92">
        <f t="shared" si="1"/>
        <v>3500</v>
      </c>
      <c r="AD5" s="92">
        <f t="shared" si="1"/>
        <v>3800</v>
      </c>
      <c r="AE5" s="92">
        <f t="shared" si="1"/>
        <v>4100</v>
      </c>
      <c r="AF5" s="92">
        <f t="shared" si="1"/>
        <v>4300</v>
      </c>
      <c r="AG5" s="92">
        <f t="shared" si="1"/>
        <v>4500</v>
      </c>
      <c r="AH5" s="92">
        <f t="shared" si="1"/>
        <v>4800</v>
      </c>
      <c r="AI5" s="92">
        <f t="shared" si="1"/>
        <v>5100</v>
      </c>
      <c r="AJ5" s="92">
        <f t="shared" si="1"/>
        <v>5400</v>
      </c>
      <c r="AK5" s="92">
        <f t="shared" si="1"/>
        <v>5700</v>
      </c>
      <c r="AL5" s="92">
        <f t="shared" si="1"/>
        <v>6050</v>
      </c>
      <c r="AM5" s="92">
        <f t="shared" si="1"/>
        <v>6400</v>
      </c>
      <c r="AN5" s="92">
        <f t="shared" si="1"/>
        <v>6750</v>
      </c>
      <c r="AO5" s="92">
        <f t="shared" si="1"/>
        <v>7100</v>
      </c>
      <c r="AP5" s="92">
        <f t="shared" si="1"/>
        <v>7450</v>
      </c>
      <c r="AQ5" s="92">
        <f t="shared" si="1"/>
        <v>7800</v>
      </c>
      <c r="AR5" s="92">
        <f t="shared" si="1"/>
        <v>8050</v>
      </c>
      <c r="AS5" s="92">
        <f t="shared" si="1"/>
        <v>8300</v>
      </c>
      <c r="AT5" s="92">
        <f t="shared" si="1"/>
        <v>8650</v>
      </c>
      <c r="AU5" s="92">
        <f t="shared" si="1"/>
        <v>9000</v>
      </c>
      <c r="AV5" s="92">
        <f t="shared" si="1"/>
        <v>9450</v>
      </c>
      <c r="AW5" s="92">
        <f t="shared" si="1"/>
        <v>10000</v>
      </c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</row>
    <row r="6" spans="1:61" s="89" customFormat="1" ht="17.25" customHeight="1" x14ac:dyDescent="0.45">
      <c r="A6" s="87" t="s">
        <v>12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8"/>
      <c r="M6" s="88"/>
      <c r="N6" s="93">
        <v>350</v>
      </c>
      <c r="O6" s="93">
        <v>400</v>
      </c>
      <c r="P6" s="93">
        <v>450</v>
      </c>
      <c r="Q6" s="93">
        <v>500</v>
      </c>
      <c r="R6" s="93">
        <v>550</v>
      </c>
      <c r="S6" s="93">
        <v>600</v>
      </c>
      <c r="T6" s="93">
        <v>650</v>
      </c>
      <c r="U6" s="93">
        <v>700</v>
      </c>
      <c r="V6" s="93">
        <v>750</v>
      </c>
      <c r="W6" s="93">
        <v>800</v>
      </c>
      <c r="X6" s="93">
        <v>850</v>
      </c>
      <c r="Y6" s="93">
        <v>900</v>
      </c>
      <c r="Z6" s="93">
        <v>1000</v>
      </c>
      <c r="AA6" s="93">
        <v>1100</v>
      </c>
      <c r="AB6" s="93">
        <v>1200</v>
      </c>
      <c r="AC6" s="93">
        <v>1300</v>
      </c>
      <c r="AD6" s="93">
        <v>1400</v>
      </c>
      <c r="AE6" s="93">
        <v>1500</v>
      </c>
      <c r="AF6" s="93">
        <v>1500</v>
      </c>
      <c r="AG6" s="93">
        <v>1500</v>
      </c>
      <c r="AH6" s="93">
        <v>1600</v>
      </c>
      <c r="AI6" s="93">
        <v>1700</v>
      </c>
      <c r="AJ6" s="93">
        <v>1800</v>
      </c>
      <c r="AK6" s="93">
        <v>1900</v>
      </c>
      <c r="AL6" s="93">
        <v>2000</v>
      </c>
      <c r="AM6" s="93">
        <v>2100</v>
      </c>
      <c r="AN6" s="93">
        <v>2200</v>
      </c>
      <c r="AO6" s="93">
        <v>2300</v>
      </c>
      <c r="AP6" s="93">
        <v>2400</v>
      </c>
      <c r="AQ6" s="93">
        <v>2500</v>
      </c>
      <c r="AR6" s="93">
        <v>2500</v>
      </c>
      <c r="AS6" s="93">
        <v>2500</v>
      </c>
      <c r="AT6" s="93">
        <v>2600</v>
      </c>
      <c r="AU6" s="93">
        <v>2700</v>
      </c>
      <c r="AV6" s="93">
        <v>2800</v>
      </c>
      <c r="AW6" s="93">
        <v>3000</v>
      </c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</row>
    <row r="7" spans="1:61" s="89" customFormat="1" ht="17.25" customHeight="1" x14ac:dyDescent="0.45">
      <c r="A7" s="87" t="s">
        <v>11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8"/>
      <c r="M7" s="88"/>
      <c r="N7" s="93"/>
      <c r="O7" s="93"/>
      <c r="P7" s="93"/>
      <c r="Q7" s="93"/>
      <c r="R7" s="93">
        <v>300</v>
      </c>
      <c r="S7" s="93">
        <f>R7+60</f>
        <v>360</v>
      </c>
      <c r="T7" s="93">
        <f t="shared" ref="T7:X7" si="2">S7+60</f>
        <v>420</v>
      </c>
      <c r="U7" s="93">
        <f t="shared" si="2"/>
        <v>480</v>
      </c>
      <c r="V7" s="93">
        <f t="shared" si="2"/>
        <v>540</v>
      </c>
      <c r="W7" s="93">
        <f>V7+60</f>
        <v>600</v>
      </c>
      <c r="X7" s="93">
        <f t="shared" si="2"/>
        <v>660</v>
      </c>
      <c r="Y7" s="93">
        <v>750</v>
      </c>
      <c r="Z7" s="93">
        <f>Y7+100</f>
        <v>850</v>
      </c>
      <c r="AA7" s="93">
        <f t="shared" ref="AA7:AU7" si="3">Z7+100</f>
        <v>950</v>
      </c>
      <c r="AB7" s="93">
        <f t="shared" si="3"/>
        <v>1050</v>
      </c>
      <c r="AC7" s="93">
        <f t="shared" si="3"/>
        <v>1150</v>
      </c>
      <c r="AD7" s="93">
        <f t="shared" si="3"/>
        <v>1250</v>
      </c>
      <c r="AE7" s="93">
        <f t="shared" si="3"/>
        <v>1350</v>
      </c>
      <c r="AF7" s="93">
        <f t="shared" si="3"/>
        <v>1450</v>
      </c>
      <c r="AG7" s="93">
        <f t="shared" si="3"/>
        <v>1550</v>
      </c>
      <c r="AH7" s="93">
        <f t="shared" si="3"/>
        <v>1650</v>
      </c>
      <c r="AI7" s="93">
        <f t="shared" si="3"/>
        <v>1750</v>
      </c>
      <c r="AJ7" s="93">
        <f t="shared" si="3"/>
        <v>1850</v>
      </c>
      <c r="AK7" s="93">
        <f t="shared" si="3"/>
        <v>1950</v>
      </c>
      <c r="AL7" s="93">
        <f t="shared" si="3"/>
        <v>2050</v>
      </c>
      <c r="AM7" s="93">
        <f t="shared" si="3"/>
        <v>2150</v>
      </c>
      <c r="AN7" s="93">
        <f t="shared" si="3"/>
        <v>2250</v>
      </c>
      <c r="AO7" s="93">
        <f t="shared" si="3"/>
        <v>2350</v>
      </c>
      <c r="AP7" s="93">
        <f t="shared" si="3"/>
        <v>2450</v>
      </c>
      <c r="AQ7" s="93">
        <f t="shared" si="3"/>
        <v>2550</v>
      </c>
      <c r="AR7" s="93">
        <f t="shared" si="3"/>
        <v>2650</v>
      </c>
      <c r="AS7" s="93">
        <f t="shared" si="3"/>
        <v>2750</v>
      </c>
      <c r="AT7" s="93">
        <f t="shared" si="3"/>
        <v>2850</v>
      </c>
      <c r="AU7" s="93">
        <f t="shared" si="3"/>
        <v>2950</v>
      </c>
      <c r="AV7" s="93">
        <v>3100</v>
      </c>
      <c r="AW7" s="93">
        <v>3250</v>
      </c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</row>
    <row r="8" spans="1:61" s="89" customFormat="1" ht="25.15" customHeight="1" x14ac:dyDescent="0.45">
      <c r="A8" s="91" t="s">
        <v>129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  <c r="M8" s="88"/>
      <c r="N8" s="93"/>
      <c r="O8" s="93"/>
      <c r="P8" s="93"/>
      <c r="Q8" s="93"/>
      <c r="R8" s="93"/>
      <c r="S8" s="93"/>
      <c r="T8" s="93"/>
      <c r="U8" s="93"/>
      <c r="V8" s="93">
        <v>350</v>
      </c>
      <c r="W8" s="93">
        <f>V8+100</f>
        <v>450</v>
      </c>
      <c r="X8" s="93">
        <f t="shared" ref="X8:AK8" si="4">W8+100</f>
        <v>550</v>
      </c>
      <c r="Y8" s="93">
        <f t="shared" si="4"/>
        <v>650</v>
      </c>
      <c r="Z8" s="93">
        <f t="shared" si="4"/>
        <v>750</v>
      </c>
      <c r="AA8" s="93">
        <f t="shared" si="4"/>
        <v>850</v>
      </c>
      <c r="AB8" s="93">
        <f t="shared" si="4"/>
        <v>950</v>
      </c>
      <c r="AC8" s="93">
        <f t="shared" si="4"/>
        <v>1050</v>
      </c>
      <c r="AD8" s="93">
        <f t="shared" si="4"/>
        <v>1150</v>
      </c>
      <c r="AE8" s="93">
        <f t="shared" si="4"/>
        <v>1250</v>
      </c>
      <c r="AF8" s="93">
        <f t="shared" si="4"/>
        <v>1350</v>
      </c>
      <c r="AG8" s="93">
        <f t="shared" si="4"/>
        <v>1450</v>
      </c>
      <c r="AH8" s="93">
        <f t="shared" si="4"/>
        <v>1550</v>
      </c>
      <c r="AI8" s="93">
        <f t="shared" si="4"/>
        <v>1650</v>
      </c>
      <c r="AJ8" s="93">
        <f t="shared" si="4"/>
        <v>1750</v>
      </c>
      <c r="AK8" s="93">
        <f t="shared" si="4"/>
        <v>1850</v>
      </c>
      <c r="AL8" s="93">
        <f>AK8+150</f>
        <v>2000</v>
      </c>
      <c r="AM8" s="93">
        <f t="shared" ref="AM8:AU8" si="5">AL8+150</f>
        <v>2150</v>
      </c>
      <c r="AN8" s="93">
        <f t="shared" si="5"/>
        <v>2300</v>
      </c>
      <c r="AO8" s="93">
        <f t="shared" si="5"/>
        <v>2450</v>
      </c>
      <c r="AP8" s="93">
        <f t="shared" si="5"/>
        <v>2600</v>
      </c>
      <c r="AQ8" s="93">
        <f t="shared" si="5"/>
        <v>2750</v>
      </c>
      <c r="AR8" s="93">
        <f t="shared" si="5"/>
        <v>2900</v>
      </c>
      <c r="AS8" s="93">
        <f t="shared" si="5"/>
        <v>3050</v>
      </c>
      <c r="AT8" s="93">
        <f t="shared" si="5"/>
        <v>3200</v>
      </c>
      <c r="AU8" s="93">
        <f t="shared" si="5"/>
        <v>3350</v>
      </c>
      <c r="AV8" s="93">
        <v>3550</v>
      </c>
      <c r="AW8" s="93">
        <v>3750</v>
      </c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</row>
    <row r="9" spans="1:61" s="10" customFormat="1" ht="15.75" x14ac:dyDescent="0.5">
      <c r="A9" s="11"/>
      <c r="N9" s="81"/>
    </row>
    <row r="10" spans="1:61" s="10" customFormat="1" ht="15.75" x14ac:dyDescent="0.5">
      <c r="A10" s="94" t="s">
        <v>119</v>
      </c>
      <c r="M10" s="81">
        <v>1000</v>
      </c>
      <c r="N10" s="81">
        <v>0</v>
      </c>
      <c r="O10" s="81">
        <v>0</v>
      </c>
      <c r="P10" s="81">
        <v>0</v>
      </c>
      <c r="Q10" s="81">
        <v>0</v>
      </c>
      <c r="R10" s="81">
        <v>1000</v>
      </c>
      <c r="S10" s="81">
        <v>0</v>
      </c>
      <c r="T10" s="81">
        <v>0</v>
      </c>
      <c r="U10" s="81">
        <v>0</v>
      </c>
      <c r="V10" s="81">
        <v>0</v>
      </c>
      <c r="W10" s="81">
        <v>1000</v>
      </c>
      <c r="X10" s="81">
        <v>0</v>
      </c>
      <c r="Y10" s="81">
        <v>0</v>
      </c>
      <c r="Z10" s="81">
        <v>0</v>
      </c>
      <c r="AA10" s="81">
        <v>2500</v>
      </c>
      <c r="AB10" s="81">
        <v>0</v>
      </c>
      <c r="AC10" s="81">
        <v>0</v>
      </c>
      <c r="AD10" s="81">
        <v>0</v>
      </c>
      <c r="AE10" s="81">
        <v>0</v>
      </c>
      <c r="AF10" s="81">
        <v>0</v>
      </c>
      <c r="AG10" s="81">
        <v>0</v>
      </c>
      <c r="AH10" s="81">
        <v>0</v>
      </c>
      <c r="AI10" s="81">
        <v>2000</v>
      </c>
      <c r="AJ10" s="81">
        <v>0</v>
      </c>
      <c r="AK10" s="81"/>
      <c r="AL10" s="81">
        <v>0</v>
      </c>
      <c r="AM10" s="81">
        <v>2500</v>
      </c>
      <c r="AN10" s="81">
        <v>0</v>
      </c>
      <c r="AO10" s="81">
        <v>0</v>
      </c>
      <c r="AP10" s="81">
        <v>0</v>
      </c>
      <c r="AQ10" s="81">
        <v>0</v>
      </c>
      <c r="AR10" s="81">
        <v>0</v>
      </c>
      <c r="AS10" s="81">
        <v>0</v>
      </c>
      <c r="AT10" s="81">
        <v>0</v>
      </c>
      <c r="AU10" s="81">
        <v>0</v>
      </c>
      <c r="AV10" s="81">
        <v>0</v>
      </c>
      <c r="AW10" s="81">
        <v>0</v>
      </c>
    </row>
    <row r="11" spans="1:61" s="81" customFormat="1" ht="15.75" x14ac:dyDescent="0.5">
      <c r="A11" s="82" t="s">
        <v>118</v>
      </c>
      <c r="M11" s="81">
        <f t="shared" ref="M11:AW11" si="6">+L13</f>
        <v>0</v>
      </c>
      <c r="N11" s="81">
        <f t="shared" si="6"/>
        <v>0</v>
      </c>
      <c r="O11" s="81">
        <f t="shared" si="6"/>
        <v>650</v>
      </c>
      <c r="P11" s="81">
        <f t="shared" si="6"/>
        <v>600</v>
      </c>
      <c r="Q11" s="81">
        <f t="shared" si="6"/>
        <v>550</v>
      </c>
      <c r="R11" s="81">
        <f t="shared" si="6"/>
        <v>500</v>
      </c>
      <c r="S11" s="81">
        <f t="shared" si="6"/>
        <v>150</v>
      </c>
      <c r="T11" s="81">
        <f t="shared" si="6"/>
        <v>1040</v>
      </c>
      <c r="U11" s="81">
        <f t="shared" si="6"/>
        <v>930</v>
      </c>
      <c r="V11" s="81">
        <f t="shared" si="6"/>
        <v>820</v>
      </c>
      <c r="W11" s="81">
        <f t="shared" si="6"/>
        <v>360</v>
      </c>
      <c r="X11" s="81">
        <f t="shared" si="6"/>
        <v>150</v>
      </c>
      <c r="Y11" s="81">
        <f t="shared" si="6"/>
        <v>940</v>
      </c>
      <c r="Z11" s="81">
        <f t="shared" si="6"/>
        <v>700</v>
      </c>
      <c r="AA11" s="81">
        <f t="shared" si="6"/>
        <v>400</v>
      </c>
      <c r="AB11" s="81">
        <f t="shared" si="6"/>
        <v>100</v>
      </c>
      <c r="AC11" s="81">
        <f t="shared" si="6"/>
        <v>2300</v>
      </c>
      <c r="AD11" s="81">
        <f t="shared" si="6"/>
        <v>2000</v>
      </c>
      <c r="AE11" s="81">
        <f t="shared" si="6"/>
        <v>1700</v>
      </c>
      <c r="AF11" s="81">
        <f t="shared" si="6"/>
        <v>1400</v>
      </c>
      <c r="AG11" s="81">
        <f t="shared" si="6"/>
        <v>1200</v>
      </c>
      <c r="AH11" s="81">
        <f t="shared" si="6"/>
        <v>1000</v>
      </c>
      <c r="AI11" s="81">
        <f t="shared" si="6"/>
        <v>700</v>
      </c>
      <c r="AJ11" s="81">
        <f t="shared" si="6"/>
        <v>400</v>
      </c>
      <c r="AK11" s="81">
        <f t="shared" si="6"/>
        <v>2100</v>
      </c>
      <c r="AL11" s="81">
        <f t="shared" si="6"/>
        <v>1800</v>
      </c>
      <c r="AM11" s="81">
        <f t="shared" si="6"/>
        <v>1450</v>
      </c>
      <c r="AN11" s="81">
        <f t="shared" si="6"/>
        <v>1100</v>
      </c>
      <c r="AO11" s="81">
        <f t="shared" si="6"/>
        <v>3250</v>
      </c>
      <c r="AP11" s="81">
        <f t="shared" si="6"/>
        <v>2900</v>
      </c>
      <c r="AQ11" s="81">
        <f t="shared" si="6"/>
        <v>2550</v>
      </c>
      <c r="AR11" s="81">
        <f t="shared" si="6"/>
        <v>2200</v>
      </c>
      <c r="AS11" s="81">
        <f t="shared" si="6"/>
        <v>1950</v>
      </c>
      <c r="AT11" s="81">
        <f t="shared" si="6"/>
        <v>1700</v>
      </c>
      <c r="AU11" s="81">
        <f t="shared" si="6"/>
        <v>1350</v>
      </c>
      <c r="AV11" s="81">
        <f t="shared" si="6"/>
        <v>1000</v>
      </c>
      <c r="AW11" s="81">
        <f t="shared" si="6"/>
        <v>550</v>
      </c>
    </row>
    <row r="12" spans="1:61" s="81" customFormat="1" ht="15.75" x14ac:dyDescent="0.5">
      <c r="A12" s="82" t="s">
        <v>116</v>
      </c>
      <c r="N12" s="81">
        <v>350</v>
      </c>
      <c r="O12" s="81">
        <f>SUM(O6:O8)-SUM(N6:N8)</f>
        <v>50</v>
      </c>
      <c r="P12" s="81">
        <f t="shared" ref="P12:AW12" si="7">SUM(P6:P8)-SUM(O6:O8)</f>
        <v>50</v>
      </c>
      <c r="Q12" s="81">
        <f t="shared" si="7"/>
        <v>50</v>
      </c>
      <c r="R12" s="81">
        <f t="shared" si="7"/>
        <v>350</v>
      </c>
      <c r="S12" s="81">
        <f t="shared" si="7"/>
        <v>110</v>
      </c>
      <c r="T12" s="81">
        <f t="shared" si="7"/>
        <v>110</v>
      </c>
      <c r="U12" s="81">
        <f t="shared" si="7"/>
        <v>110</v>
      </c>
      <c r="V12" s="81">
        <f t="shared" si="7"/>
        <v>460</v>
      </c>
      <c r="W12" s="81">
        <f t="shared" si="7"/>
        <v>210</v>
      </c>
      <c r="X12" s="81">
        <f t="shared" si="7"/>
        <v>210</v>
      </c>
      <c r="Y12" s="81">
        <f t="shared" si="7"/>
        <v>240</v>
      </c>
      <c r="Z12" s="81">
        <f t="shared" si="7"/>
        <v>300</v>
      </c>
      <c r="AA12" s="81">
        <f t="shared" si="7"/>
        <v>300</v>
      </c>
      <c r="AB12" s="81">
        <f t="shared" si="7"/>
        <v>300</v>
      </c>
      <c r="AC12" s="81">
        <f t="shared" si="7"/>
        <v>300</v>
      </c>
      <c r="AD12" s="81">
        <f t="shared" si="7"/>
        <v>300</v>
      </c>
      <c r="AE12" s="81">
        <f t="shared" si="7"/>
        <v>300</v>
      </c>
      <c r="AF12" s="81">
        <f t="shared" si="7"/>
        <v>200</v>
      </c>
      <c r="AG12" s="81">
        <f t="shared" si="7"/>
        <v>200</v>
      </c>
      <c r="AH12" s="81">
        <f t="shared" si="7"/>
        <v>300</v>
      </c>
      <c r="AI12" s="81">
        <f t="shared" si="7"/>
        <v>300</v>
      </c>
      <c r="AJ12" s="81">
        <f t="shared" si="7"/>
        <v>300</v>
      </c>
      <c r="AK12" s="81">
        <f t="shared" si="7"/>
        <v>300</v>
      </c>
      <c r="AL12" s="81">
        <f t="shared" si="7"/>
        <v>350</v>
      </c>
      <c r="AM12" s="81">
        <f t="shared" si="7"/>
        <v>350</v>
      </c>
      <c r="AN12" s="81">
        <f t="shared" si="7"/>
        <v>350</v>
      </c>
      <c r="AO12" s="81">
        <f t="shared" si="7"/>
        <v>350</v>
      </c>
      <c r="AP12" s="81">
        <f t="shared" si="7"/>
        <v>350</v>
      </c>
      <c r="AQ12" s="81">
        <f t="shared" si="7"/>
        <v>350</v>
      </c>
      <c r="AR12" s="81">
        <f t="shared" si="7"/>
        <v>250</v>
      </c>
      <c r="AS12" s="81">
        <f t="shared" si="7"/>
        <v>250</v>
      </c>
      <c r="AT12" s="81">
        <f t="shared" si="7"/>
        <v>350</v>
      </c>
      <c r="AU12" s="81">
        <f t="shared" si="7"/>
        <v>350</v>
      </c>
      <c r="AV12" s="81">
        <f t="shared" si="7"/>
        <v>450</v>
      </c>
      <c r="AW12" s="81">
        <f t="shared" si="7"/>
        <v>550</v>
      </c>
      <c r="AX12" s="81" t="e">
        <f>+#REF!</f>
        <v>#REF!</v>
      </c>
      <c r="AY12" s="81" t="e">
        <f>+#REF!</f>
        <v>#REF!</v>
      </c>
      <c r="AZ12" s="81" t="e">
        <f>+#REF!</f>
        <v>#REF!</v>
      </c>
      <c r="BA12" s="81" t="e">
        <f>+#REF!</f>
        <v>#REF!</v>
      </c>
      <c r="BB12" s="81" t="e">
        <f>+#REF!</f>
        <v>#REF!</v>
      </c>
      <c r="BC12" s="81" t="e">
        <f>+#REF!</f>
        <v>#REF!</v>
      </c>
      <c r="BD12" s="81" t="e">
        <f>+#REF!</f>
        <v>#REF!</v>
      </c>
      <c r="BE12" s="81" t="e">
        <f>+#REF!</f>
        <v>#REF!</v>
      </c>
      <c r="BF12" s="81" t="e">
        <f>+#REF!</f>
        <v>#REF!</v>
      </c>
      <c r="BG12" s="81" t="e">
        <f>+#REF!</f>
        <v>#REF!</v>
      </c>
      <c r="BH12" s="81" t="e">
        <f>+#REF!</f>
        <v>#REF!</v>
      </c>
      <c r="BI12" s="81" t="e">
        <f>+#REF!</f>
        <v>#REF!</v>
      </c>
    </row>
    <row r="13" spans="1:61" s="81" customFormat="1" ht="15.75" x14ac:dyDescent="0.5">
      <c r="A13" s="82" t="s">
        <v>117</v>
      </c>
      <c r="M13" s="81">
        <v>0</v>
      </c>
      <c r="N13" s="81">
        <f t="shared" ref="N13:R13" si="8">+N11-N12+M10</f>
        <v>650</v>
      </c>
      <c r="O13" s="81">
        <f t="shared" si="8"/>
        <v>600</v>
      </c>
      <c r="P13" s="81">
        <f t="shared" si="8"/>
        <v>550</v>
      </c>
      <c r="Q13" s="81">
        <f t="shared" si="8"/>
        <v>500</v>
      </c>
      <c r="R13" s="81">
        <f t="shared" si="8"/>
        <v>150</v>
      </c>
      <c r="S13" s="81">
        <f>+S11-S12+R10</f>
        <v>1040</v>
      </c>
      <c r="T13" s="81">
        <f t="shared" ref="T13:BI13" si="9">+T11-T12+S10</f>
        <v>930</v>
      </c>
      <c r="U13" s="81">
        <f t="shared" si="9"/>
        <v>820</v>
      </c>
      <c r="V13" s="81">
        <f t="shared" si="9"/>
        <v>360</v>
      </c>
      <c r="W13" s="81">
        <f t="shared" si="9"/>
        <v>150</v>
      </c>
      <c r="X13" s="81">
        <f t="shared" si="9"/>
        <v>940</v>
      </c>
      <c r="Y13" s="81">
        <f t="shared" si="9"/>
        <v>700</v>
      </c>
      <c r="Z13" s="81">
        <f t="shared" si="9"/>
        <v>400</v>
      </c>
      <c r="AA13" s="81">
        <f t="shared" si="9"/>
        <v>100</v>
      </c>
      <c r="AB13" s="81">
        <f t="shared" si="9"/>
        <v>2300</v>
      </c>
      <c r="AC13" s="81">
        <f t="shared" si="9"/>
        <v>2000</v>
      </c>
      <c r="AD13" s="81">
        <f t="shared" si="9"/>
        <v>1700</v>
      </c>
      <c r="AE13" s="81">
        <f t="shared" si="9"/>
        <v>1400</v>
      </c>
      <c r="AF13" s="81">
        <f t="shared" si="9"/>
        <v>1200</v>
      </c>
      <c r="AG13" s="81">
        <f t="shared" si="9"/>
        <v>1000</v>
      </c>
      <c r="AH13" s="81">
        <f t="shared" si="9"/>
        <v>700</v>
      </c>
      <c r="AI13" s="81">
        <f t="shared" si="9"/>
        <v>400</v>
      </c>
      <c r="AJ13" s="81">
        <f t="shared" si="9"/>
        <v>2100</v>
      </c>
      <c r="AK13" s="81">
        <f t="shared" si="9"/>
        <v>1800</v>
      </c>
      <c r="AL13" s="81">
        <f t="shared" si="9"/>
        <v>1450</v>
      </c>
      <c r="AM13" s="81">
        <f t="shared" si="9"/>
        <v>1100</v>
      </c>
      <c r="AN13" s="81">
        <f t="shared" si="9"/>
        <v>3250</v>
      </c>
      <c r="AO13" s="81">
        <f t="shared" si="9"/>
        <v>2900</v>
      </c>
      <c r="AP13" s="81">
        <f t="shared" si="9"/>
        <v>2550</v>
      </c>
      <c r="AQ13" s="81">
        <f t="shared" si="9"/>
        <v>2200</v>
      </c>
      <c r="AR13" s="81">
        <f t="shared" si="9"/>
        <v>1950</v>
      </c>
      <c r="AS13" s="81">
        <f t="shared" si="9"/>
        <v>1700</v>
      </c>
      <c r="AT13" s="81">
        <f t="shared" si="9"/>
        <v>1350</v>
      </c>
      <c r="AU13" s="81">
        <f t="shared" si="9"/>
        <v>1000</v>
      </c>
      <c r="AV13" s="81">
        <f t="shared" si="9"/>
        <v>550</v>
      </c>
      <c r="AW13" s="81">
        <f t="shared" si="9"/>
        <v>0</v>
      </c>
      <c r="AX13" s="81" t="e">
        <f t="shared" si="9"/>
        <v>#REF!</v>
      </c>
      <c r="AY13" s="81" t="e">
        <f t="shared" si="9"/>
        <v>#REF!</v>
      </c>
      <c r="AZ13" s="81" t="e">
        <f t="shared" si="9"/>
        <v>#REF!</v>
      </c>
      <c r="BA13" s="81" t="e">
        <f t="shared" si="9"/>
        <v>#REF!</v>
      </c>
      <c r="BB13" s="81" t="e">
        <f t="shared" si="9"/>
        <v>#REF!</v>
      </c>
      <c r="BC13" s="81" t="e">
        <f t="shared" si="9"/>
        <v>#REF!</v>
      </c>
      <c r="BD13" s="81" t="e">
        <f t="shared" si="9"/>
        <v>#REF!</v>
      </c>
      <c r="BE13" s="81" t="e">
        <f t="shared" si="9"/>
        <v>#REF!</v>
      </c>
      <c r="BF13" s="81" t="e">
        <f t="shared" si="9"/>
        <v>#REF!</v>
      </c>
      <c r="BG13" s="81" t="e">
        <f t="shared" si="9"/>
        <v>#REF!</v>
      </c>
      <c r="BH13" s="81" t="e">
        <f t="shared" si="9"/>
        <v>#REF!</v>
      </c>
      <c r="BI13" s="81" t="e">
        <f t="shared" si="9"/>
        <v>#REF!</v>
      </c>
    </row>
    <row r="14" spans="1:61" ht="15.75" x14ac:dyDescent="0.5">
      <c r="A14" s="11"/>
    </row>
    <row r="15" spans="1:61" s="12" customFormat="1" ht="19.5" x14ac:dyDescent="0.6">
      <c r="A15" s="12" t="s">
        <v>37</v>
      </c>
      <c r="B15" s="12" t="e">
        <f>B16+#REF!+B36+B37+B38+B39+B40+B41</f>
        <v>#REF!</v>
      </c>
      <c r="C15" s="12" t="e">
        <f>C16+#REF!+C36+C37+C38+C39+C40+C41</f>
        <v>#REF!</v>
      </c>
      <c r="D15" s="12" t="e">
        <f>D16+#REF!+D36+D37+D38+D39+D40+D41</f>
        <v>#REF!</v>
      </c>
      <c r="E15" s="12">
        <f t="shared" ref="E15:AW15" si="10">SUM(E17:E37)</f>
        <v>2299</v>
      </c>
      <c r="F15" s="12">
        <f t="shared" si="10"/>
        <v>5262.6</v>
      </c>
      <c r="G15" s="12">
        <f t="shared" si="10"/>
        <v>59025.137933884296</v>
      </c>
      <c r="H15" s="12">
        <f t="shared" si="10"/>
        <v>12985</v>
      </c>
      <c r="I15" s="12">
        <f t="shared" si="10"/>
        <v>24628.325000000001</v>
      </c>
      <c r="J15" s="12">
        <f t="shared" si="10"/>
        <v>7828.33</v>
      </c>
      <c r="K15" s="12">
        <f t="shared" si="10"/>
        <v>67250</v>
      </c>
      <c r="L15" s="12">
        <f t="shared" si="10"/>
        <v>8950</v>
      </c>
      <c r="M15" s="12">
        <f t="shared" si="10"/>
        <v>121450</v>
      </c>
      <c r="N15" s="12">
        <f t="shared" si="10"/>
        <v>64650</v>
      </c>
      <c r="O15" s="12">
        <f t="shared" si="10"/>
        <v>8650</v>
      </c>
      <c r="P15" s="12">
        <f t="shared" si="10"/>
        <v>8400</v>
      </c>
      <c r="Q15" s="12">
        <f t="shared" si="10"/>
        <v>8900</v>
      </c>
      <c r="R15" s="12">
        <f t="shared" si="10"/>
        <v>61000</v>
      </c>
      <c r="S15" s="12">
        <f t="shared" si="10"/>
        <v>2560</v>
      </c>
      <c r="T15" s="12">
        <f t="shared" si="10"/>
        <v>2560</v>
      </c>
      <c r="U15" s="12">
        <f t="shared" si="10"/>
        <v>2560</v>
      </c>
      <c r="V15" s="12">
        <f t="shared" si="10"/>
        <v>7160</v>
      </c>
      <c r="W15" s="12">
        <f t="shared" si="10"/>
        <v>58660</v>
      </c>
      <c r="X15" s="12">
        <f t="shared" si="10"/>
        <v>3660</v>
      </c>
      <c r="Y15" s="12">
        <f t="shared" si="10"/>
        <v>3840</v>
      </c>
      <c r="Z15" s="12">
        <f t="shared" si="10"/>
        <v>4950</v>
      </c>
      <c r="AA15" s="12">
        <f t="shared" si="10"/>
        <v>129950</v>
      </c>
      <c r="AB15" s="12">
        <f t="shared" si="10"/>
        <v>9950</v>
      </c>
      <c r="AC15" s="12">
        <f t="shared" si="10"/>
        <v>5450</v>
      </c>
      <c r="AD15" s="12">
        <f t="shared" si="10"/>
        <v>5450</v>
      </c>
      <c r="AE15" s="12">
        <f t="shared" si="10"/>
        <v>5450</v>
      </c>
      <c r="AF15" s="12">
        <f t="shared" si="10"/>
        <v>2350</v>
      </c>
      <c r="AG15" s="12">
        <f t="shared" si="10"/>
        <v>2350</v>
      </c>
      <c r="AH15" s="12">
        <f t="shared" si="10"/>
        <v>5450</v>
      </c>
      <c r="AI15" s="12">
        <f t="shared" si="10"/>
        <v>110450</v>
      </c>
      <c r="AJ15" s="12">
        <f t="shared" si="10"/>
        <v>5450</v>
      </c>
      <c r="AK15" s="12">
        <f t="shared" si="10"/>
        <v>5450</v>
      </c>
      <c r="AL15" s="12">
        <f t="shared" si="10"/>
        <v>6500</v>
      </c>
      <c r="AM15" s="12">
        <f t="shared" si="10"/>
        <v>131500</v>
      </c>
      <c r="AN15" s="12">
        <f t="shared" si="10"/>
        <v>11500</v>
      </c>
      <c r="AO15" s="12">
        <f t="shared" si="10"/>
        <v>6500</v>
      </c>
      <c r="AP15" s="12">
        <f t="shared" si="10"/>
        <v>6500</v>
      </c>
      <c r="AQ15" s="12">
        <f t="shared" si="10"/>
        <v>6500</v>
      </c>
      <c r="AR15" s="12">
        <f t="shared" si="10"/>
        <v>2900</v>
      </c>
      <c r="AS15" s="12">
        <f t="shared" si="10"/>
        <v>2900</v>
      </c>
      <c r="AT15" s="12">
        <f t="shared" si="10"/>
        <v>6500</v>
      </c>
      <c r="AU15" s="12">
        <f t="shared" si="10"/>
        <v>11500</v>
      </c>
      <c r="AV15" s="12">
        <f t="shared" si="10"/>
        <v>7100</v>
      </c>
      <c r="AW15" s="12">
        <f t="shared" si="10"/>
        <v>10700</v>
      </c>
      <c r="AX15" s="12" t="e">
        <f>AX16+#REF!+AX36+AX37+AX38+AX39+AX40+AX41</f>
        <v>#REF!</v>
      </c>
      <c r="AY15" s="12" t="e">
        <f>AY16+#REF!+AY36+AY37+AY38+AY39+AY40+AY41</f>
        <v>#REF!</v>
      </c>
      <c r="AZ15" s="12" t="e">
        <f>AZ16+#REF!+AZ36+AZ37+AZ38+AZ39+AZ40+AZ41</f>
        <v>#REF!</v>
      </c>
      <c r="BA15" s="12" t="e">
        <f>BA16+#REF!+BA36+BA37+BA38+BA39+BA40+BA41</f>
        <v>#REF!</v>
      </c>
      <c r="BB15" s="12" t="e">
        <f>BB16+#REF!+BB36+BB37+BB38+BB39+BB40+BB41</f>
        <v>#REF!</v>
      </c>
      <c r="BC15" s="12" t="e">
        <f>BC16+#REF!+BC36+BC37+BC38+BC39+BC40+BC41</f>
        <v>#REF!</v>
      </c>
      <c r="BD15" s="12" t="e">
        <f>BD16+#REF!+BD36+BD37+BD38+BD39+BD40+BD41</f>
        <v>#REF!</v>
      </c>
      <c r="BE15" s="12" t="e">
        <f>BE16+#REF!+BE36+BE37+BE38+BE39+BE40+BE41</f>
        <v>#REF!</v>
      </c>
      <c r="BF15" s="12" t="e">
        <f>BF16+#REF!+BF36+BF37+BF38+BF39+BF40+BF41</f>
        <v>#REF!</v>
      </c>
      <c r="BG15" s="12" t="e">
        <f>BG16+#REF!+BG36+BG37+BG38+BG39+BG40+BG41</f>
        <v>#REF!</v>
      </c>
      <c r="BH15" s="12" t="e">
        <f>BH16+#REF!+BH36+BH37+BH38+BH39+BH40+BH41</f>
        <v>#REF!</v>
      </c>
      <c r="BI15" s="13" t="e">
        <f>BI16+#REF!+BI36+BI37+BI38+BI39+BI40+BI41</f>
        <v>#REF!</v>
      </c>
    </row>
    <row r="16" spans="1:61" x14ac:dyDescent="0.4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5"/>
    </row>
    <row r="17" spans="1:61" ht="18" customHeight="1" x14ac:dyDescent="0.45">
      <c r="A17" s="39" t="s">
        <v>13</v>
      </c>
      <c r="B17" s="14"/>
      <c r="C17" s="14"/>
      <c r="D17" s="14"/>
      <c r="E17" s="14">
        <v>0</v>
      </c>
      <c r="F17" s="14">
        <v>0</v>
      </c>
      <c r="G17" s="14">
        <v>10000</v>
      </c>
      <c r="H17" s="14">
        <v>2000</v>
      </c>
      <c r="I17" s="14">
        <v>10000</v>
      </c>
      <c r="J17" s="14"/>
      <c r="K17" s="14"/>
      <c r="L17" s="14">
        <v>0</v>
      </c>
      <c r="M17" s="14">
        <v>108000</v>
      </c>
      <c r="N17" s="14"/>
      <c r="O17" s="14"/>
      <c r="P17" s="14"/>
      <c r="Q17" s="14"/>
      <c r="R17" s="14">
        <f>R10*Hypothèses!$D$3</f>
        <v>50000</v>
      </c>
      <c r="S17" s="14">
        <f>S10*Hypothèses!$D$3</f>
        <v>0</v>
      </c>
      <c r="T17" s="14">
        <f>T10*Hypothèses!$D$3</f>
        <v>0</v>
      </c>
      <c r="U17" s="14">
        <f>U10*Hypothèses!$D$3</f>
        <v>0</v>
      </c>
      <c r="V17" s="14">
        <f>V10*Hypothèses!$D$3</f>
        <v>0</v>
      </c>
      <c r="W17" s="14">
        <f>W10*Hypothèses!$D$3</f>
        <v>50000</v>
      </c>
      <c r="X17" s="14"/>
      <c r="Y17" s="14">
        <v>0</v>
      </c>
      <c r="Z17" s="14">
        <v>0</v>
      </c>
      <c r="AA17" s="14">
        <f>AA10*Hypothèses!$D$3</f>
        <v>125000</v>
      </c>
      <c r="AB17" s="14">
        <v>0</v>
      </c>
      <c r="AC17" s="14"/>
      <c r="AD17" s="14">
        <v>0</v>
      </c>
      <c r="AE17" s="14">
        <v>0</v>
      </c>
      <c r="AF17" s="14"/>
      <c r="AG17" s="14">
        <v>0</v>
      </c>
      <c r="AH17" s="14">
        <v>0</v>
      </c>
      <c r="AI17" s="14">
        <f>AI10*Hypothèses!$D$3</f>
        <v>100000</v>
      </c>
      <c r="AJ17" s="14">
        <v>0</v>
      </c>
      <c r="AK17" s="14">
        <f>AK10*Hypothèses!$D$3</f>
        <v>0</v>
      </c>
      <c r="AL17" s="14">
        <v>0</v>
      </c>
      <c r="AM17" s="14">
        <f>AM10*Hypothèses!$D$3</f>
        <v>125000</v>
      </c>
      <c r="AN17" s="14"/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5"/>
    </row>
    <row r="18" spans="1:61" ht="18" customHeight="1" x14ac:dyDescent="0.45">
      <c r="A18" s="39" t="s">
        <v>158</v>
      </c>
      <c r="B18" s="14"/>
      <c r="C18" s="14"/>
      <c r="D18" s="14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/>
      <c r="P18" s="14"/>
      <c r="Q18" s="14"/>
      <c r="R18" s="14">
        <f t="shared" ref="R18:AW18" si="11">R12*6</f>
        <v>2100</v>
      </c>
      <c r="S18" s="14">
        <f t="shared" si="11"/>
        <v>660</v>
      </c>
      <c r="T18" s="14">
        <f t="shared" si="11"/>
        <v>660</v>
      </c>
      <c r="U18" s="14">
        <f t="shared" si="11"/>
        <v>660</v>
      </c>
      <c r="V18" s="14">
        <f t="shared" si="11"/>
        <v>2760</v>
      </c>
      <c r="W18" s="14">
        <f t="shared" si="11"/>
        <v>1260</v>
      </c>
      <c r="X18" s="14">
        <f t="shared" si="11"/>
        <v>1260</v>
      </c>
      <c r="Y18" s="14">
        <f t="shared" si="11"/>
        <v>1440</v>
      </c>
      <c r="Z18" s="14">
        <f t="shared" si="11"/>
        <v>1800</v>
      </c>
      <c r="AA18" s="14">
        <f t="shared" si="11"/>
        <v>1800</v>
      </c>
      <c r="AB18" s="14">
        <f t="shared" si="11"/>
        <v>1800</v>
      </c>
      <c r="AC18" s="14">
        <f t="shared" si="11"/>
        <v>1800</v>
      </c>
      <c r="AD18" s="14">
        <f t="shared" si="11"/>
        <v>1800</v>
      </c>
      <c r="AE18" s="14">
        <f t="shared" si="11"/>
        <v>1800</v>
      </c>
      <c r="AF18" s="14">
        <f t="shared" si="11"/>
        <v>1200</v>
      </c>
      <c r="AG18" s="14">
        <f t="shared" si="11"/>
        <v>1200</v>
      </c>
      <c r="AH18" s="14">
        <f t="shared" si="11"/>
        <v>1800</v>
      </c>
      <c r="AI18" s="14">
        <f t="shared" si="11"/>
        <v>1800</v>
      </c>
      <c r="AJ18" s="14">
        <f t="shared" si="11"/>
        <v>1800</v>
      </c>
      <c r="AK18" s="14">
        <f t="shared" si="11"/>
        <v>1800</v>
      </c>
      <c r="AL18" s="14">
        <f t="shared" si="11"/>
        <v>2100</v>
      </c>
      <c r="AM18" s="14">
        <f t="shared" si="11"/>
        <v>2100</v>
      </c>
      <c r="AN18" s="14">
        <f t="shared" si="11"/>
        <v>2100</v>
      </c>
      <c r="AO18" s="14">
        <f t="shared" si="11"/>
        <v>2100</v>
      </c>
      <c r="AP18" s="14">
        <f t="shared" si="11"/>
        <v>2100</v>
      </c>
      <c r="AQ18" s="14">
        <f t="shared" si="11"/>
        <v>2100</v>
      </c>
      <c r="AR18" s="14">
        <f t="shared" si="11"/>
        <v>1500</v>
      </c>
      <c r="AS18" s="14">
        <f t="shared" si="11"/>
        <v>1500</v>
      </c>
      <c r="AT18" s="14">
        <f t="shared" si="11"/>
        <v>2100</v>
      </c>
      <c r="AU18" s="14">
        <f t="shared" si="11"/>
        <v>2100</v>
      </c>
      <c r="AV18" s="14">
        <f t="shared" si="11"/>
        <v>2700</v>
      </c>
      <c r="AW18" s="14">
        <f t="shared" si="11"/>
        <v>3300</v>
      </c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5"/>
    </row>
    <row r="19" spans="1:61" ht="18" customHeight="1" x14ac:dyDescent="0.45">
      <c r="A19" s="39" t="s">
        <v>3</v>
      </c>
      <c r="B19" s="14"/>
      <c r="C19" s="14"/>
      <c r="D19" s="14"/>
      <c r="E19" s="14">
        <v>0</v>
      </c>
      <c r="F19" s="14">
        <v>0</v>
      </c>
      <c r="G19" s="14">
        <v>28227.628099173555</v>
      </c>
      <c r="H19" s="14">
        <v>0</v>
      </c>
      <c r="I19" s="14"/>
      <c r="J19" s="14">
        <v>0</v>
      </c>
      <c r="K19" s="14">
        <v>43000</v>
      </c>
      <c r="L19" s="14">
        <v>0</v>
      </c>
      <c r="M19" s="14"/>
      <c r="N19" s="14">
        <v>20000</v>
      </c>
      <c r="O19" s="14">
        <v>0</v>
      </c>
      <c r="P19" s="14">
        <v>0</v>
      </c>
      <c r="Q19" s="14"/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5"/>
    </row>
    <row r="20" spans="1:61" ht="18" customHeight="1" x14ac:dyDescent="0.45">
      <c r="A20" s="41" t="s">
        <v>1</v>
      </c>
      <c r="B20" s="14"/>
      <c r="C20" s="14"/>
      <c r="D20" s="14"/>
      <c r="E20" s="14">
        <v>0</v>
      </c>
      <c r="F20" s="14">
        <v>0</v>
      </c>
      <c r="G20" s="14">
        <v>7860.0000000000009</v>
      </c>
      <c r="H20" s="14">
        <v>0</v>
      </c>
      <c r="I20" s="14">
        <v>7178.3249999999998</v>
      </c>
      <c r="J20" s="14">
        <v>7178.33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/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5"/>
    </row>
    <row r="21" spans="1:61" ht="18" customHeight="1" x14ac:dyDescent="0.45">
      <c r="A21" s="39" t="s">
        <v>159</v>
      </c>
      <c r="B21" s="14"/>
      <c r="C21" s="14"/>
      <c r="D21" s="14"/>
      <c r="E21" s="14">
        <v>0</v>
      </c>
      <c r="F21" s="14">
        <v>0</v>
      </c>
      <c r="G21" s="14">
        <v>6750</v>
      </c>
      <c r="H21" s="14">
        <v>0</v>
      </c>
      <c r="I21" s="14">
        <v>0</v>
      </c>
      <c r="J21" s="14">
        <v>0</v>
      </c>
      <c r="K21" s="14">
        <v>2300</v>
      </c>
      <c r="L21" s="14">
        <v>0</v>
      </c>
      <c r="N21" s="14">
        <v>2000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5"/>
    </row>
    <row r="22" spans="1:61" ht="18" customHeight="1" x14ac:dyDescent="0.45">
      <c r="A22" s="39" t="s">
        <v>27</v>
      </c>
      <c r="B22" s="14"/>
      <c r="C22" s="14"/>
      <c r="D22" s="14"/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10500</v>
      </c>
      <c r="L22" s="14"/>
      <c r="M22" s="14"/>
      <c r="N22" s="14">
        <v>5000</v>
      </c>
      <c r="O22" s="14">
        <v>7500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5"/>
    </row>
    <row r="23" spans="1:61" ht="18" customHeight="1" x14ac:dyDescent="0.45">
      <c r="A23" s="39" t="s">
        <v>28</v>
      </c>
      <c r="B23" s="14"/>
      <c r="C23" s="14"/>
      <c r="D23" s="14"/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/>
      <c r="L23" s="14">
        <v>0</v>
      </c>
      <c r="M23" s="14">
        <v>2000</v>
      </c>
      <c r="N23" s="14">
        <v>0</v>
      </c>
      <c r="O23" s="14">
        <v>0</v>
      </c>
      <c r="P23" s="14">
        <v>0</v>
      </c>
      <c r="Q23" s="14">
        <v>3000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5000</v>
      </c>
      <c r="X23" s="14">
        <v>0</v>
      </c>
      <c r="Y23" s="14">
        <v>0</v>
      </c>
      <c r="Z23" s="14">
        <v>0</v>
      </c>
      <c r="AA23" s="14">
        <v>0</v>
      </c>
      <c r="AB23" s="14">
        <v>5000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5000</v>
      </c>
      <c r="AJ23" s="14">
        <v>0</v>
      </c>
      <c r="AK23" s="14">
        <v>0</v>
      </c>
      <c r="AL23" s="14">
        <v>0</v>
      </c>
      <c r="AM23" s="14">
        <v>0</v>
      </c>
      <c r="AN23" s="14">
        <v>5000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5000</v>
      </c>
      <c r="AV23" s="14">
        <v>0</v>
      </c>
      <c r="AW23" s="14">
        <v>0</v>
      </c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5"/>
    </row>
    <row r="24" spans="1:61" ht="18" customHeight="1" x14ac:dyDescent="0.45">
      <c r="A24" s="39" t="s">
        <v>2</v>
      </c>
      <c r="B24" s="14"/>
      <c r="C24" s="14"/>
      <c r="D24" s="14"/>
      <c r="E24" s="14">
        <v>0</v>
      </c>
      <c r="F24" s="14">
        <v>0</v>
      </c>
      <c r="G24" s="14">
        <v>0</v>
      </c>
      <c r="H24" s="14">
        <v>0</v>
      </c>
      <c r="I24" s="14">
        <v>400</v>
      </c>
      <c r="J24" s="14">
        <v>400</v>
      </c>
      <c r="K24" s="14">
        <v>400</v>
      </c>
      <c r="L24" s="14">
        <v>400</v>
      </c>
      <c r="M24" s="14">
        <v>400</v>
      </c>
      <c r="N24" s="14">
        <v>400</v>
      </c>
      <c r="O24" s="14">
        <v>400</v>
      </c>
      <c r="P24" s="14">
        <v>400</v>
      </c>
      <c r="Q24" s="14">
        <v>400</v>
      </c>
      <c r="R24" s="14">
        <v>400</v>
      </c>
      <c r="S24" s="14">
        <v>400</v>
      </c>
      <c r="T24" s="14">
        <v>400</v>
      </c>
      <c r="U24" s="14">
        <v>400</v>
      </c>
      <c r="V24" s="14">
        <v>400</v>
      </c>
      <c r="W24" s="14">
        <v>400</v>
      </c>
      <c r="X24" s="14">
        <v>400</v>
      </c>
      <c r="Y24" s="14">
        <v>400</v>
      </c>
      <c r="Z24" s="14">
        <v>400</v>
      </c>
      <c r="AA24" s="14">
        <v>400</v>
      </c>
      <c r="AB24" s="14">
        <v>400</v>
      </c>
      <c r="AC24" s="14">
        <v>400</v>
      </c>
      <c r="AD24" s="14">
        <v>400</v>
      </c>
      <c r="AE24" s="14">
        <v>400</v>
      </c>
      <c r="AF24" s="14">
        <v>400</v>
      </c>
      <c r="AG24" s="14">
        <v>400</v>
      </c>
      <c r="AH24" s="14">
        <v>400</v>
      </c>
      <c r="AI24" s="14">
        <v>400</v>
      </c>
      <c r="AJ24" s="14">
        <v>400</v>
      </c>
      <c r="AK24" s="14">
        <v>400</v>
      </c>
      <c r="AL24" s="14">
        <v>400</v>
      </c>
      <c r="AM24" s="14">
        <v>400</v>
      </c>
      <c r="AN24" s="14">
        <v>400</v>
      </c>
      <c r="AO24" s="14">
        <v>400</v>
      </c>
      <c r="AP24" s="14">
        <v>400</v>
      </c>
      <c r="AQ24" s="14">
        <v>400</v>
      </c>
      <c r="AR24" s="14">
        <v>400</v>
      </c>
      <c r="AS24" s="14">
        <v>400</v>
      </c>
      <c r="AT24" s="14">
        <v>400</v>
      </c>
      <c r="AU24" s="14">
        <v>400</v>
      </c>
      <c r="AV24" s="14">
        <v>400</v>
      </c>
      <c r="AW24" s="14">
        <v>400</v>
      </c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5"/>
    </row>
    <row r="25" spans="1:61" ht="18" customHeight="1" x14ac:dyDescent="0.45">
      <c r="A25" s="40" t="s">
        <v>138</v>
      </c>
      <c r="B25" s="14"/>
      <c r="C25" s="14"/>
      <c r="D25" s="14"/>
      <c r="E25" s="14">
        <v>0</v>
      </c>
      <c r="F25" s="14">
        <v>0</v>
      </c>
      <c r="G25" s="14">
        <v>347</v>
      </c>
      <c r="H25" s="14">
        <v>605</v>
      </c>
      <c r="I25" s="14">
        <v>0</v>
      </c>
      <c r="J25" s="14">
        <v>0</v>
      </c>
      <c r="K25" s="14">
        <v>0</v>
      </c>
      <c r="L25" s="14">
        <v>0</v>
      </c>
      <c r="M25" s="14"/>
      <c r="N25" s="14">
        <v>0</v>
      </c>
      <c r="O25" s="14">
        <v>0</v>
      </c>
      <c r="P25" s="14">
        <v>0</v>
      </c>
      <c r="Q25" s="14">
        <v>3000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5"/>
    </row>
    <row r="26" spans="1:61" ht="18" customHeight="1" x14ac:dyDescent="0.45">
      <c r="A26" s="39" t="s">
        <v>121</v>
      </c>
      <c r="B26" s="14"/>
      <c r="C26" s="14"/>
      <c r="D26" s="14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500</v>
      </c>
      <c r="P26" s="14">
        <v>500</v>
      </c>
      <c r="Q26" s="14">
        <v>2000</v>
      </c>
      <c r="R26" s="14">
        <v>1000</v>
      </c>
      <c r="S26" s="14">
        <v>1000</v>
      </c>
      <c r="T26" s="14">
        <v>1000</v>
      </c>
      <c r="U26" s="14">
        <v>1000</v>
      </c>
      <c r="V26" s="14">
        <v>3500</v>
      </c>
      <c r="W26" s="14">
        <v>1500</v>
      </c>
      <c r="X26" s="14">
        <v>1500</v>
      </c>
      <c r="Y26" s="14">
        <v>1500</v>
      </c>
      <c r="Z26" s="14">
        <v>2000</v>
      </c>
      <c r="AA26" s="14">
        <v>2000</v>
      </c>
      <c r="AB26" s="14">
        <v>2000</v>
      </c>
      <c r="AC26" s="14">
        <v>2500</v>
      </c>
      <c r="AD26" s="14">
        <v>2500</v>
      </c>
      <c r="AE26" s="14">
        <v>2500</v>
      </c>
      <c r="AF26" s="14">
        <v>0</v>
      </c>
      <c r="AG26" s="14">
        <v>0</v>
      </c>
      <c r="AH26" s="14">
        <v>2500</v>
      </c>
      <c r="AI26" s="14">
        <v>2500</v>
      </c>
      <c r="AJ26" s="14">
        <v>2500</v>
      </c>
      <c r="AK26" s="14">
        <v>2500</v>
      </c>
      <c r="AL26" s="14">
        <v>3000</v>
      </c>
      <c r="AM26" s="14">
        <v>3000</v>
      </c>
      <c r="AN26" s="14">
        <v>3000</v>
      </c>
      <c r="AO26" s="14">
        <v>3000</v>
      </c>
      <c r="AP26" s="14">
        <v>3000</v>
      </c>
      <c r="AQ26" s="14">
        <v>3000</v>
      </c>
      <c r="AR26" s="14">
        <v>0</v>
      </c>
      <c r="AS26" s="14">
        <v>0</v>
      </c>
      <c r="AT26" s="14">
        <v>3000</v>
      </c>
      <c r="AU26" s="14">
        <v>3000</v>
      </c>
      <c r="AV26" s="14">
        <v>3000</v>
      </c>
      <c r="AW26" s="14">
        <v>6000</v>
      </c>
      <c r="AX26" s="14" t="e">
        <f t="shared" ref="AX26:BI26" si="12">10*AX12</f>
        <v>#REF!</v>
      </c>
      <c r="AY26" s="14" t="e">
        <f t="shared" si="12"/>
        <v>#REF!</v>
      </c>
      <c r="AZ26" s="14" t="e">
        <f t="shared" si="12"/>
        <v>#REF!</v>
      </c>
      <c r="BA26" s="14" t="e">
        <f t="shared" si="12"/>
        <v>#REF!</v>
      </c>
      <c r="BB26" s="14" t="e">
        <f t="shared" si="12"/>
        <v>#REF!</v>
      </c>
      <c r="BC26" s="14" t="e">
        <f t="shared" si="12"/>
        <v>#REF!</v>
      </c>
      <c r="BD26" s="14" t="e">
        <f t="shared" si="12"/>
        <v>#REF!</v>
      </c>
      <c r="BE26" s="14" t="e">
        <f t="shared" si="12"/>
        <v>#REF!</v>
      </c>
      <c r="BF26" s="14" t="e">
        <f t="shared" si="12"/>
        <v>#REF!</v>
      </c>
      <c r="BG26" s="14" t="e">
        <f t="shared" si="12"/>
        <v>#REF!</v>
      </c>
      <c r="BH26" s="14" t="e">
        <f t="shared" si="12"/>
        <v>#REF!</v>
      </c>
      <c r="BI26" s="14" t="e">
        <f t="shared" si="12"/>
        <v>#REF!</v>
      </c>
    </row>
    <row r="27" spans="1:61" ht="18" customHeight="1" x14ac:dyDescent="0.45">
      <c r="A27" s="39" t="s">
        <v>139</v>
      </c>
      <c r="B27" s="14"/>
      <c r="C27" s="14"/>
      <c r="D27" s="14"/>
      <c r="E27" s="14"/>
      <c r="F27" s="14"/>
      <c r="G27" s="14"/>
      <c r="H27" s="14"/>
      <c r="I27" s="14"/>
      <c r="J27" s="14"/>
      <c r="K27" s="14">
        <v>3300</v>
      </c>
      <c r="L27" s="14">
        <v>3300</v>
      </c>
      <c r="M27" s="14">
        <v>3300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</row>
    <row r="28" spans="1:61" ht="18" customHeight="1" x14ac:dyDescent="0.45">
      <c r="A28" s="39" t="s">
        <v>14</v>
      </c>
      <c r="B28" s="14"/>
      <c r="C28" s="14"/>
      <c r="D28" s="14"/>
      <c r="E28" s="14">
        <v>0</v>
      </c>
      <c r="F28" s="14">
        <v>0</v>
      </c>
      <c r="G28" s="14">
        <v>736.89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5"/>
    </row>
    <row r="29" spans="1:61" ht="18" customHeight="1" x14ac:dyDescent="0.45">
      <c r="A29" s="40" t="s">
        <v>21</v>
      </c>
      <c r="B29" s="14"/>
      <c r="C29" s="14"/>
      <c r="D29" s="14"/>
      <c r="E29" s="14">
        <v>0</v>
      </c>
      <c r="F29" s="14">
        <v>0</v>
      </c>
      <c r="G29" s="14">
        <v>0</v>
      </c>
      <c r="H29" s="14">
        <v>7880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5"/>
    </row>
    <row r="30" spans="1:61" ht="18" customHeight="1" x14ac:dyDescent="0.45">
      <c r="A30" s="40" t="s">
        <v>22</v>
      </c>
      <c r="B30" s="14"/>
      <c r="C30" s="14"/>
      <c r="D30" s="14"/>
      <c r="E30" s="14">
        <v>0</v>
      </c>
      <c r="F30" s="14">
        <v>0</v>
      </c>
      <c r="G30" s="14">
        <v>0</v>
      </c>
      <c r="H30" s="14">
        <v>2250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/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5"/>
    </row>
    <row r="31" spans="1:61" ht="18" customHeight="1" x14ac:dyDescent="0.45">
      <c r="A31" s="40" t="s">
        <v>24</v>
      </c>
      <c r="B31" s="14"/>
      <c r="C31" s="14"/>
      <c r="D31" s="14"/>
      <c r="E31" s="14">
        <v>0</v>
      </c>
      <c r="F31" s="14">
        <v>0</v>
      </c>
      <c r="G31" s="14">
        <v>1125.6198347107438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5"/>
    </row>
    <row r="32" spans="1:61" ht="18" customHeight="1" x14ac:dyDescent="0.45">
      <c r="A32" s="2" t="s">
        <v>10</v>
      </c>
      <c r="B32" s="14"/>
      <c r="C32" s="14"/>
      <c r="D32" s="14"/>
      <c r="E32" s="14">
        <v>0</v>
      </c>
      <c r="F32" s="14">
        <v>2889</v>
      </c>
      <c r="G32" s="14">
        <v>0</v>
      </c>
      <c r="H32" s="14">
        <v>0</v>
      </c>
      <c r="I32" s="14">
        <v>2500</v>
      </c>
      <c r="J32" s="14">
        <v>0</v>
      </c>
      <c r="K32" s="14">
        <v>2500</v>
      </c>
      <c r="L32" s="14">
        <v>0</v>
      </c>
      <c r="M32" s="14">
        <v>2500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5"/>
    </row>
    <row r="33" spans="1:61" ht="18" customHeight="1" x14ac:dyDescent="0.45">
      <c r="A33" s="40" t="s">
        <v>4</v>
      </c>
      <c r="B33" s="14"/>
      <c r="C33" s="14"/>
      <c r="D33" s="14"/>
      <c r="E33" s="14">
        <v>2299</v>
      </c>
      <c r="F33" s="14">
        <v>135</v>
      </c>
      <c r="G33" s="14">
        <v>726</v>
      </c>
      <c r="H33" s="14">
        <v>250</v>
      </c>
      <c r="I33" s="14">
        <v>250</v>
      </c>
      <c r="J33" s="14">
        <v>250</v>
      </c>
      <c r="K33" s="14">
        <v>250</v>
      </c>
      <c r="L33" s="14">
        <v>250</v>
      </c>
      <c r="M33" s="14">
        <v>250</v>
      </c>
      <c r="N33" s="14">
        <v>250</v>
      </c>
      <c r="O33" s="14">
        <v>250</v>
      </c>
      <c r="P33" s="14">
        <v>500</v>
      </c>
      <c r="Q33" s="14">
        <v>500</v>
      </c>
      <c r="R33" s="14">
        <v>500</v>
      </c>
      <c r="S33" s="14">
        <v>500</v>
      </c>
      <c r="T33" s="14">
        <v>500</v>
      </c>
      <c r="U33" s="14">
        <v>500</v>
      </c>
      <c r="V33" s="14">
        <v>500</v>
      </c>
      <c r="W33" s="14">
        <v>500</v>
      </c>
      <c r="X33" s="14">
        <v>500</v>
      </c>
      <c r="Y33" s="14">
        <v>500</v>
      </c>
      <c r="Z33" s="14">
        <v>750</v>
      </c>
      <c r="AA33" s="14">
        <v>750</v>
      </c>
      <c r="AB33" s="14">
        <v>750</v>
      </c>
      <c r="AC33" s="14">
        <v>750</v>
      </c>
      <c r="AD33" s="14">
        <v>750</v>
      </c>
      <c r="AE33" s="14">
        <v>750</v>
      </c>
      <c r="AF33" s="14">
        <v>750</v>
      </c>
      <c r="AG33" s="14">
        <v>750</v>
      </c>
      <c r="AH33" s="14">
        <v>750</v>
      </c>
      <c r="AI33" s="14">
        <v>750</v>
      </c>
      <c r="AJ33" s="14">
        <v>750</v>
      </c>
      <c r="AK33" s="14">
        <v>750</v>
      </c>
      <c r="AL33" s="14">
        <v>1000</v>
      </c>
      <c r="AM33" s="14">
        <v>1000</v>
      </c>
      <c r="AN33" s="14">
        <v>1000</v>
      </c>
      <c r="AO33" s="14">
        <v>1000</v>
      </c>
      <c r="AP33" s="14">
        <v>1000</v>
      </c>
      <c r="AQ33" s="14">
        <v>1000</v>
      </c>
      <c r="AR33" s="14">
        <v>1000</v>
      </c>
      <c r="AS33" s="14">
        <v>1000</v>
      </c>
      <c r="AT33" s="14">
        <v>1000</v>
      </c>
      <c r="AU33" s="14">
        <v>1000</v>
      </c>
      <c r="AV33" s="14">
        <v>1000</v>
      </c>
      <c r="AW33" s="14">
        <v>1000</v>
      </c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5"/>
    </row>
    <row r="34" spans="1:61" ht="18" customHeight="1" x14ac:dyDescent="0.45">
      <c r="A34" s="40" t="s">
        <v>173</v>
      </c>
      <c r="B34" s="14"/>
      <c r="C34" s="14"/>
      <c r="D34" s="14"/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30000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5"/>
    </row>
    <row r="35" spans="1:61" ht="18" customHeight="1" x14ac:dyDescent="0.45">
      <c r="A35" s="4" t="s">
        <v>126</v>
      </c>
      <c r="B35" s="14"/>
      <c r="C35" s="14"/>
      <c r="D35" s="14"/>
      <c r="E35" s="14">
        <v>0</v>
      </c>
      <c r="F35" s="14">
        <v>2238.6</v>
      </c>
      <c r="G35" s="14">
        <v>3252</v>
      </c>
      <c r="H35" s="14">
        <v>0</v>
      </c>
      <c r="I35" s="14">
        <v>4300</v>
      </c>
      <c r="J35" s="14"/>
      <c r="K35" s="14">
        <v>5000</v>
      </c>
      <c r="L35">
        <v>5000</v>
      </c>
      <c r="M35" s="14">
        <v>5000</v>
      </c>
      <c r="N35" s="14">
        <v>7000</v>
      </c>
      <c r="O35" s="14"/>
      <c r="P35" s="14">
        <v>7000</v>
      </c>
      <c r="Q35" s="14"/>
      <c r="R35" s="14">
        <v>7000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/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/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5"/>
    </row>
    <row r="36" spans="1:61" ht="18" customHeight="1" x14ac:dyDescent="0.4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5"/>
    </row>
    <row r="37" spans="1:61" ht="18" customHeight="1" x14ac:dyDescent="0.4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</row>
    <row r="38" spans="1:61" hidden="1" x14ac:dyDescent="0.45">
      <c r="A38" t="s">
        <v>141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5">
        <v>0</v>
      </c>
    </row>
    <row r="39" spans="1:61" hidden="1" x14ac:dyDescent="0.45">
      <c r="A39" t="s">
        <v>142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5">
        <v>0</v>
      </c>
    </row>
    <row r="40" spans="1:61" hidden="1" x14ac:dyDescent="0.45">
      <c r="A40" t="s">
        <v>143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5">
        <v>0</v>
      </c>
    </row>
    <row r="41" spans="1:61" hidden="1" x14ac:dyDescent="0.45">
      <c r="A41" t="s">
        <v>144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5">
        <v>0</v>
      </c>
    </row>
    <row r="43" spans="1:61" s="16" customFormat="1" ht="19.5" x14ac:dyDescent="0.6">
      <c r="A43" s="12" t="s">
        <v>38</v>
      </c>
      <c r="B43" s="9">
        <f t="shared" ref="B43:AG43" si="13">SUM(B44:B63)</f>
        <v>0</v>
      </c>
      <c r="C43" s="9">
        <f t="shared" si="13"/>
        <v>0</v>
      </c>
      <c r="D43" s="9">
        <f t="shared" si="13"/>
        <v>0</v>
      </c>
      <c r="E43" s="9">
        <f t="shared" si="13"/>
        <v>217.8</v>
      </c>
      <c r="F43" s="9">
        <f t="shared" si="13"/>
        <v>4347.3999999999996</v>
      </c>
      <c r="G43" s="9">
        <f t="shared" si="13"/>
        <v>4495.24</v>
      </c>
      <c r="H43" s="9">
        <f t="shared" si="13"/>
        <v>2130.4</v>
      </c>
      <c r="I43" s="9">
        <f t="shared" si="13"/>
        <v>4768.3999999999996</v>
      </c>
      <c r="J43" s="9">
        <f t="shared" si="13"/>
        <v>1768.4</v>
      </c>
      <c r="K43" s="9">
        <f t="shared" si="13"/>
        <v>3968.4</v>
      </c>
      <c r="L43" s="9">
        <f>SUM(L44:L63)</f>
        <v>1968.4</v>
      </c>
      <c r="M43" s="9">
        <f t="shared" si="13"/>
        <v>9547.4</v>
      </c>
      <c r="N43" s="9">
        <f t="shared" si="13"/>
        <v>5647.4</v>
      </c>
      <c r="O43" s="9">
        <f t="shared" si="13"/>
        <v>2147.4</v>
      </c>
      <c r="P43" s="9">
        <f t="shared" si="13"/>
        <v>2147.4</v>
      </c>
      <c r="Q43" s="9">
        <f t="shared" si="13"/>
        <v>5247.4</v>
      </c>
      <c r="R43" s="9">
        <f t="shared" si="13"/>
        <v>4247.3999999999996</v>
      </c>
      <c r="S43" s="9">
        <f t="shared" si="13"/>
        <v>4247.3999999999996</v>
      </c>
      <c r="T43" s="9">
        <f t="shared" si="13"/>
        <v>4247.3999999999996</v>
      </c>
      <c r="U43" s="9">
        <f t="shared" si="13"/>
        <v>4247.3999999999996</v>
      </c>
      <c r="V43" s="9">
        <f t="shared" si="13"/>
        <v>5747.4</v>
      </c>
      <c r="W43" s="9">
        <f t="shared" si="13"/>
        <v>5747.4</v>
      </c>
      <c r="X43" s="9">
        <f t="shared" si="13"/>
        <v>5747.4</v>
      </c>
      <c r="Y43" s="9">
        <f t="shared" si="13"/>
        <v>5747.4</v>
      </c>
      <c r="Z43" s="9">
        <f t="shared" si="13"/>
        <v>5387.4</v>
      </c>
      <c r="AA43" s="9">
        <f t="shared" si="13"/>
        <v>7087.4</v>
      </c>
      <c r="AB43" s="9">
        <f t="shared" si="13"/>
        <v>7087.4</v>
      </c>
      <c r="AC43" s="9">
        <f t="shared" si="13"/>
        <v>7087.4</v>
      </c>
      <c r="AD43" s="9">
        <f t="shared" si="13"/>
        <v>7087.4</v>
      </c>
      <c r="AE43" s="9">
        <f t="shared" si="13"/>
        <v>7087.4</v>
      </c>
      <c r="AF43" s="9">
        <f t="shared" si="13"/>
        <v>7087.4</v>
      </c>
      <c r="AG43" s="9">
        <f t="shared" si="13"/>
        <v>7087.4</v>
      </c>
      <c r="AH43" s="9">
        <f t="shared" ref="AH43:BI43" si="14">SUM(AH44:AH63)</f>
        <v>7087.4</v>
      </c>
      <c r="AI43" s="9">
        <f t="shared" si="14"/>
        <v>7087.4</v>
      </c>
      <c r="AJ43" s="9">
        <f t="shared" si="14"/>
        <v>7087.4</v>
      </c>
      <c r="AK43" s="9">
        <f t="shared" si="14"/>
        <v>7087.4</v>
      </c>
      <c r="AL43" s="9">
        <f t="shared" si="14"/>
        <v>7087.4</v>
      </c>
      <c r="AM43" s="9">
        <f t="shared" si="14"/>
        <v>7087.4</v>
      </c>
      <c r="AN43" s="9">
        <f t="shared" si="14"/>
        <v>7087.4</v>
      </c>
      <c r="AO43" s="9">
        <f t="shared" si="14"/>
        <v>7087.4</v>
      </c>
      <c r="AP43" s="9">
        <f t="shared" si="14"/>
        <v>7087.4</v>
      </c>
      <c r="AQ43" s="9">
        <f t="shared" si="14"/>
        <v>7087.4</v>
      </c>
      <c r="AR43" s="9">
        <f t="shared" si="14"/>
        <v>7087.4</v>
      </c>
      <c r="AS43" s="9">
        <f t="shared" si="14"/>
        <v>7087.4</v>
      </c>
      <c r="AT43" s="9">
        <f t="shared" si="14"/>
        <v>7087.4</v>
      </c>
      <c r="AU43" s="9">
        <f t="shared" si="14"/>
        <v>7087.4</v>
      </c>
      <c r="AV43" s="9">
        <f t="shared" si="14"/>
        <v>7087.4</v>
      </c>
      <c r="AW43" s="9">
        <f t="shared" si="14"/>
        <v>7087.4</v>
      </c>
      <c r="AX43" s="9">
        <f t="shared" si="14"/>
        <v>0</v>
      </c>
      <c r="AY43" s="9">
        <f t="shared" si="14"/>
        <v>0</v>
      </c>
      <c r="AZ43" s="9">
        <f t="shared" si="14"/>
        <v>0</v>
      </c>
      <c r="BA43" s="9">
        <f t="shared" si="14"/>
        <v>0</v>
      </c>
      <c r="BB43" s="9">
        <f t="shared" si="14"/>
        <v>0</v>
      </c>
      <c r="BC43" s="9">
        <f t="shared" si="14"/>
        <v>0</v>
      </c>
      <c r="BD43" s="9">
        <f t="shared" si="14"/>
        <v>0</v>
      </c>
      <c r="BE43" s="9">
        <f t="shared" si="14"/>
        <v>0</v>
      </c>
      <c r="BF43" s="9">
        <f t="shared" si="14"/>
        <v>0</v>
      </c>
      <c r="BG43" s="9">
        <f t="shared" si="14"/>
        <v>0</v>
      </c>
      <c r="BH43" s="9">
        <f t="shared" si="14"/>
        <v>0</v>
      </c>
      <c r="BI43" s="9">
        <f t="shared" si="14"/>
        <v>0</v>
      </c>
    </row>
    <row r="44" spans="1:61" s="16" customFormat="1" outlineLevel="1" x14ac:dyDescent="0.45">
      <c r="A4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</row>
    <row r="45" spans="1:61" s="16" customFormat="1" outlineLevel="1" x14ac:dyDescent="0.45">
      <c r="A45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</row>
    <row r="46" spans="1:61" s="16" customFormat="1" ht="21" customHeight="1" outlineLevel="1" x14ac:dyDescent="0.45">
      <c r="A46" s="41" t="s">
        <v>16</v>
      </c>
      <c r="B46" s="10"/>
      <c r="C46" s="10"/>
      <c r="D46" s="10"/>
      <c r="E46" s="10">
        <v>0</v>
      </c>
      <c r="F46" s="10">
        <v>1460</v>
      </c>
      <c r="G46" s="10">
        <v>1460</v>
      </c>
      <c r="H46" s="10">
        <v>1460</v>
      </c>
      <c r="I46" s="10">
        <v>1460</v>
      </c>
      <c r="J46" s="10">
        <v>1460</v>
      </c>
      <c r="K46" s="10">
        <v>1460</v>
      </c>
      <c r="L46" s="10">
        <v>1460</v>
      </c>
      <c r="M46" s="10">
        <v>1460</v>
      </c>
      <c r="N46" s="10">
        <v>1460</v>
      </c>
      <c r="O46" s="10">
        <v>1460</v>
      </c>
      <c r="P46" s="10">
        <v>1460</v>
      </c>
      <c r="Q46" s="10">
        <v>1460</v>
      </c>
      <c r="R46" s="10">
        <v>1460</v>
      </c>
      <c r="S46" s="10">
        <v>1460</v>
      </c>
      <c r="T46" s="10">
        <v>1460</v>
      </c>
      <c r="U46" s="10">
        <v>1460</v>
      </c>
      <c r="V46" s="10">
        <v>1460</v>
      </c>
      <c r="W46" s="10">
        <v>1460</v>
      </c>
      <c r="X46" s="10">
        <v>1460</v>
      </c>
      <c r="Y46" s="10">
        <v>1460</v>
      </c>
      <c r="Z46" s="10">
        <v>2500</v>
      </c>
      <c r="AA46" s="10">
        <v>2500</v>
      </c>
      <c r="AB46" s="10">
        <v>2500</v>
      </c>
      <c r="AC46" s="10">
        <v>2500</v>
      </c>
      <c r="AD46" s="10">
        <v>2500</v>
      </c>
      <c r="AE46" s="10">
        <v>2500</v>
      </c>
      <c r="AF46" s="10">
        <v>2500</v>
      </c>
      <c r="AG46" s="10">
        <v>2500</v>
      </c>
      <c r="AH46" s="10">
        <v>2500</v>
      </c>
      <c r="AI46" s="10">
        <v>2500</v>
      </c>
      <c r="AJ46" s="10">
        <v>2500</v>
      </c>
      <c r="AK46" s="10">
        <v>2500</v>
      </c>
      <c r="AL46" s="10">
        <v>2500</v>
      </c>
      <c r="AM46" s="10">
        <v>2500</v>
      </c>
      <c r="AN46" s="10">
        <v>2500</v>
      </c>
      <c r="AO46" s="10">
        <v>2500</v>
      </c>
      <c r="AP46" s="10">
        <v>2500</v>
      </c>
      <c r="AQ46" s="10">
        <v>2500</v>
      </c>
      <c r="AR46" s="10">
        <v>2500</v>
      </c>
      <c r="AS46" s="10">
        <v>2500</v>
      </c>
      <c r="AT46" s="10">
        <v>2500</v>
      </c>
      <c r="AU46" s="10">
        <v>2500</v>
      </c>
      <c r="AV46" s="10">
        <v>2500</v>
      </c>
      <c r="AW46" s="10">
        <v>2500</v>
      </c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</row>
    <row r="47" spans="1:61" s="16" customFormat="1" ht="21" customHeight="1" outlineLevel="1" x14ac:dyDescent="0.45">
      <c r="A47" s="41" t="s">
        <v>26</v>
      </c>
      <c r="B47" s="10"/>
      <c r="C47" s="10"/>
      <c r="D47" s="10"/>
      <c r="E47" s="10">
        <v>0</v>
      </c>
      <c r="F47" s="10">
        <v>0</v>
      </c>
      <c r="G47" s="10">
        <v>100</v>
      </c>
      <c r="H47" s="10">
        <v>100</v>
      </c>
      <c r="I47" s="10">
        <v>100</v>
      </c>
      <c r="J47" s="10">
        <v>100</v>
      </c>
      <c r="K47" s="10">
        <v>100</v>
      </c>
      <c r="L47" s="10">
        <v>100</v>
      </c>
      <c r="M47" s="10">
        <v>100</v>
      </c>
      <c r="N47" s="10">
        <v>100</v>
      </c>
      <c r="O47" s="10">
        <v>100</v>
      </c>
      <c r="P47" s="10">
        <v>100</v>
      </c>
      <c r="Q47" s="10">
        <v>100</v>
      </c>
      <c r="R47" s="10">
        <v>100</v>
      </c>
      <c r="S47" s="10">
        <v>100</v>
      </c>
      <c r="T47" s="10">
        <v>100</v>
      </c>
      <c r="U47" s="10">
        <v>100</v>
      </c>
      <c r="V47" s="10">
        <v>100</v>
      </c>
      <c r="W47" s="10">
        <v>100</v>
      </c>
      <c r="X47" s="10">
        <v>100</v>
      </c>
      <c r="Y47" s="10">
        <v>100</v>
      </c>
      <c r="Z47" s="10">
        <v>1100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</row>
    <row r="48" spans="1:61" s="16" customFormat="1" ht="21" customHeight="1" outlineLevel="1" x14ac:dyDescent="0.45">
      <c r="A48" s="41" t="s">
        <v>20</v>
      </c>
      <c r="B48" s="10"/>
      <c r="C48" s="10"/>
      <c r="D48" s="10"/>
      <c r="E48" s="10">
        <v>0</v>
      </c>
      <c r="F48" s="10">
        <v>2800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-2800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</row>
    <row r="49" spans="1:61" s="16" customFormat="1" ht="21" customHeight="1" outlineLevel="1" x14ac:dyDescent="0.45">
      <c r="A49" s="41" t="s">
        <v>23</v>
      </c>
      <c r="B49" s="10"/>
      <c r="C49" s="10"/>
      <c r="D49" s="10"/>
      <c r="E49" s="10">
        <v>217.8</v>
      </c>
      <c r="F49" s="10">
        <v>0</v>
      </c>
      <c r="G49" s="10">
        <v>0</v>
      </c>
      <c r="H49" s="10">
        <v>362</v>
      </c>
      <c r="I49" s="10">
        <v>0</v>
      </c>
      <c r="J49" s="10">
        <v>0</v>
      </c>
      <c r="K49" s="10">
        <v>300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</row>
    <row r="50" spans="1:61" s="16" customFormat="1" ht="21" customHeight="1" outlineLevel="1" x14ac:dyDescent="0.45">
      <c r="A50" s="41" t="s">
        <v>17</v>
      </c>
      <c r="B50" s="10"/>
      <c r="C50" s="10"/>
      <c r="D50" s="10"/>
      <c r="E50" s="10">
        <v>0</v>
      </c>
      <c r="F50" s="10">
        <v>87.4</v>
      </c>
      <c r="G50" s="10">
        <v>87.4</v>
      </c>
      <c r="H50" s="10">
        <v>87.4</v>
      </c>
      <c r="I50" s="10">
        <v>87.4</v>
      </c>
      <c r="J50" s="10">
        <v>87.4</v>
      </c>
      <c r="K50" s="10">
        <v>87.4</v>
      </c>
      <c r="L50" s="10">
        <v>87.4</v>
      </c>
      <c r="M50" s="10">
        <v>87.4</v>
      </c>
      <c r="N50" s="10">
        <v>87.4</v>
      </c>
      <c r="O50" s="10">
        <v>87.4</v>
      </c>
      <c r="P50" s="10">
        <v>87.4</v>
      </c>
      <c r="Q50" s="10">
        <v>87.4</v>
      </c>
      <c r="R50" s="10">
        <v>87.4</v>
      </c>
      <c r="S50" s="10">
        <v>87.4</v>
      </c>
      <c r="T50" s="10">
        <v>87.4</v>
      </c>
      <c r="U50" s="10">
        <v>87.4</v>
      </c>
      <c r="V50" s="10">
        <v>87.4</v>
      </c>
      <c r="W50" s="10">
        <v>87.4</v>
      </c>
      <c r="X50" s="10">
        <v>87.4</v>
      </c>
      <c r="Y50" s="10">
        <v>87.4</v>
      </c>
      <c r="Z50" s="10">
        <v>87.4</v>
      </c>
      <c r="AA50" s="10">
        <v>87.4</v>
      </c>
      <c r="AB50" s="10">
        <v>87.4</v>
      </c>
      <c r="AC50" s="10">
        <v>87.4</v>
      </c>
      <c r="AD50" s="10">
        <v>87.4</v>
      </c>
      <c r="AE50" s="10">
        <v>87.4</v>
      </c>
      <c r="AF50" s="10">
        <v>87.4</v>
      </c>
      <c r="AG50" s="10">
        <v>87.4</v>
      </c>
      <c r="AH50" s="10">
        <v>87.4</v>
      </c>
      <c r="AI50" s="10">
        <v>87.4</v>
      </c>
      <c r="AJ50" s="10">
        <v>87.4</v>
      </c>
      <c r="AK50" s="10">
        <v>87.4</v>
      </c>
      <c r="AL50" s="10">
        <v>87.4</v>
      </c>
      <c r="AM50" s="10">
        <v>87.4</v>
      </c>
      <c r="AN50" s="10">
        <v>87.4</v>
      </c>
      <c r="AO50" s="10">
        <v>87.4</v>
      </c>
      <c r="AP50" s="10">
        <v>87.4</v>
      </c>
      <c r="AQ50" s="10">
        <v>87.4</v>
      </c>
      <c r="AR50" s="10">
        <v>87.4</v>
      </c>
      <c r="AS50" s="10">
        <v>87.4</v>
      </c>
      <c r="AT50" s="10">
        <v>87.4</v>
      </c>
      <c r="AU50" s="10">
        <v>87.4</v>
      </c>
      <c r="AV50" s="10">
        <v>87.4</v>
      </c>
      <c r="AW50" s="10">
        <v>87.4</v>
      </c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</row>
    <row r="51" spans="1:61" s="16" customFormat="1" ht="21" customHeight="1" outlineLevel="1" x14ac:dyDescent="0.45">
      <c r="A51" s="41" t="s">
        <v>7</v>
      </c>
      <c r="B51" s="10"/>
      <c r="C51" s="10"/>
      <c r="D51" s="10"/>
      <c r="E51" s="10">
        <v>0</v>
      </c>
      <c r="F51" s="10">
        <v>0</v>
      </c>
      <c r="G51" s="10">
        <v>1787</v>
      </c>
      <c r="H51" s="10">
        <v>0</v>
      </c>
      <c r="I51" s="10">
        <v>3000</v>
      </c>
      <c r="J51" s="10">
        <v>0</v>
      </c>
      <c r="K51" s="10">
        <v>0</v>
      </c>
      <c r="L51" s="10">
        <v>0</v>
      </c>
      <c r="M51" s="10">
        <v>0</v>
      </c>
      <c r="N51" s="10">
        <v>3000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</row>
    <row r="52" spans="1:61" s="16" customFormat="1" ht="21" customHeight="1" outlineLevel="1" x14ac:dyDescent="0.45">
      <c r="A52" s="41" t="s">
        <v>30</v>
      </c>
      <c r="B52" s="10"/>
      <c r="C52" s="10"/>
      <c r="D52" s="10"/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900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</row>
    <row r="53" spans="1:61" s="16" customFormat="1" ht="21" customHeight="1" outlineLevel="1" x14ac:dyDescent="0.45">
      <c r="A53" s="41" t="s">
        <v>8</v>
      </c>
      <c r="B53" s="10"/>
      <c r="C53" s="10"/>
      <c r="D53" s="10"/>
      <c r="E53" s="10">
        <v>0</v>
      </c>
      <c r="F53" s="10">
        <v>0</v>
      </c>
      <c r="G53" s="10">
        <v>939.84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500</v>
      </c>
      <c r="O53" s="10">
        <v>0</v>
      </c>
      <c r="P53" s="10">
        <v>0</v>
      </c>
      <c r="Q53" s="10">
        <v>1000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</row>
    <row r="54" spans="1:61" s="16" customFormat="1" ht="21" customHeight="1" outlineLevel="1" x14ac:dyDescent="0.45">
      <c r="A54" s="41" t="s">
        <v>18</v>
      </c>
      <c r="B54" s="10"/>
      <c r="C54" s="10"/>
      <c r="D54" s="10"/>
      <c r="E54" s="10">
        <v>0</v>
      </c>
      <c r="F54" s="10">
        <v>0</v>
      </c>
      <c r="G54" s="10">
        <v>121</v>
      </c>
      <c r="H54" s="10">
        <v>121</v>
      </c>
      <c r="I54" s="10">
        <v>121</v>
      </c>
      <c r="J54" s="10">
        <v>121</v>
      </c>
      <c r="K54" s="10">
        <v>121</v>
      </c>
      <c r="L54" s="10">
        <v>121</v>
      </c>
      <c r="M54" s="10">
        <v>200</v>
      </c>
      <c r="N54" s="10">
        <v>200</v>
      </c>
      <c r="O54" s="10">
        <v>200</v>
      </c>
      <c r="P54" s="10">
        <v>200</v>
      </c>
      <c r="Q54" s="10">
        <v>500</v>
      </c>
      <c r="R54" s="10">
        <v>500</v>
      </c>
      <c r="S54" s="10">
        <v>500</v>
      </c>
      <c r="T54" s="10">
        <v>500</v>
      </c>
      <c r="U54" s="10">
        <v>500</v>
      </c>
      <c r="V54" s="10">
        <v>500</v>
      </c>
      <c r="W54" s="10">
        <v>500</v>
      </c>
      <c r="X54" s="10">
        <v>500</v>
      </c>
      <c r="Y54" s="10">
        <v>500</v>
      </c>
      <c r="Z54" s="10">
        <v>500</v>
      </c>
      <c r="AA54" s="10">
        <v>500</v>
      </c>
      <c r="AB54" s="10">
        <v>500</v>
      </c>
      <c r="AC54" s="10">
        <v>500</v>
      </c>
      <c r="AD54" s="10">
        <v>500</v>
      </c>
      <c r="AE54" s="10">
        <v>500</v>
      </c>
      <c r="AF54" s="10">
        <v>500</v>
      </c>
      <c r="AG54" s="10">
        <v>500</v>
      </c>
      <c r="AH54" s="10">
        <v>500</v>
      </c>
      <c r="AI54" s="10">
        <v>500</v>
      </c>
      <c r="AJ54" s="10">
        <v>500</v>
      </c>
      <c r="AK54" s="10">
        <v>500</v>
      </c>
      <c r="AL54" s="10">
        <v>500</v>
      </c>
      <c r="AM54" s="10">
        <v>500</v>
      </c>
      <c r="AN54" s="10">
        <v>500</v>
      </c>
      <c r="AO54" s="10">
        <v>500</v>
      </c>
      <c r="AP54" s="10">
        <v>500</v>
      </c>
      <c r="AQ54" s="10">
        <v>500</v>
      </c>
      <c r="AR54" s="10">
        <v>500</v>
      </c>
      <c r="AS54" s="10">
        <v>500</v>
      </c>
      <c r="AT54" s="10">
        <v>500</v>
      </c>
      <c r="AU54" s="10">
        <v>500</v>
      </c>
      <c r="AV54" s="10">
        <v>500</v>
      </c>
      <c r="AW54" s="10">
        <v>500</v>
      </c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</row>
    <row r="55" spans="1:61" s="16" customFormat="1" ht="21" customHeight="1" outlineLevel="1" x14ac:dyDescent="0.45">
      <c r="A55" s="41" t="s">
        <v>9</v>
      </c>
      <c r="B55" s="10"/>
      <c r="C55" s="10"/>
      <c r="D55" s="10"/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/>
      <c r="K55" s="10">
        <v>1000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</row>
    <row r="56" spans="1:61" s="16" customFormat="1" ht="21" customHeight="1" outlineLevel="1" x14ac:dyDescent="0.45">
      <c r="A56" s="41" t="s">
        <v>6</v>
      </c>
      <c r="B56" s="10"/>
      <c r="C56" s="10"/>
      <c r="D56" s="10"/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500</v>
      </c>
      <c r="R56" s="10">
        <v>500</v>
      </c>
      <c r="S56" s="10">
        <v>500</v>
      </c>
      <c r="T56" s="10">
        <v>500</v>
      </c>
      <c r="U56" s="10">
        <v>500</v>
      </c>
      <c r="V56" s="10">
        <v>1000</v>
      </c>
      <c r="W56" s="10">
        <v>1000</v>
      </c>
      <c r="X56" s="10">
        <v>1000</v>
      </c>
      <c r="Y56" s="10">
        <v>1000</v>
      </c>
      <c r="Z56" s="10">
        <v>1000</v>
      </c>
      <c r="AA56" s="10">
        <v>1000</v>
      </c>
      <c r="AB56" s="10">
        <v>1000</v>
      </c>
      <c r="AC56" s="10">
        <v>1000</v>
      </c>
      <c r="AD56" s="10">
        <v>1000</v>
      </c>
      <c r="AE56" s="10">
        <v>1000</v>
      </c>
      <c r="AF56" s="10">
        <v>1000</v>
      </c>
      <c r="AG56" s="10">
        <v>1000</v>
      </c>
      <c r="AH56" s="10">
        <v>1000</v>
      </c>
      <c r="AI56" s="10">
        <v>1000</v>
      </c>
      <c r="AJ56" s="10">
        <v>1000</v>
      </c>
      <c r="AK56" s="10">
        <v>1000</v>
      </c>
      <c r="AL56" s="10">
        <v>1000</v>
      </c>
      <c r="AM56" s="10">
        <v>1000</v>
      </c>
      <c r="AN56" s="10">
        <v>1000</v>
      </c>
      <c r="AO56" s="10">
        <v>1000</v>
      </c>
      <c r="AP56" s="10">
        <v>1000</v>
      </c>
      <c r="AQ56" s="10">
        <v>1000</v>
      </c>
      <c r="AR56" s="10">
        <v>1000</v>
      </c>
      <c r="AS56" s="10">
        <v>1000</v>
      </c>
      <c r="AT56" s="10">
        <v>1000</v>
      </c>
      <c r="AU56" s="10">
        <v>1000</v>
      </c>
      <c r="AV56" s="10">
        <v>1000</v>
      </c>
      <c r="AW56" s="10">
        <v>1000</v>
      </c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</row>
    <row r="57" spans="1:61" s="16" customFormat="1" ht="21" customHeight="1" outlineLevel="1" x14ac:dyDescent="0.45">
      <c r="A57" s="41" t="s">
        <v>5</v>
      </c>
      <c r="B57" s="10"/>
      <c r="C57" s="10"/>
      <c r="D57" s="10"/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200</v>
      </c>
      <c r="M57" s="10">
        <v>200</v>
      </c>
      <c r="N57" s="10">
        <v>300</v>
      </c>
      <c r="O57" s="10">
        <v>300</v>
      </c>
      <c r="P57" s="10">
        <v>300</v>
      </c>
      <c r="Q57" s="10">
        <v>600</v>
      </c>
      <c r="R57" s="10">
        <v>600</v>
      </c>
      <c r="S57" s="10">
        <v>600</v>
      </c>
      <c r="T57" s="10">
        <v>600</v>
      </c>
      <c r="U57" s="10">
        <v>600</v>
      </c>
      <c r="V57" s="10">
        <v>600</v>
      </c>
      <c r="W57" s="10">
        <v>600</v>
      </c>
      <c r="X57" s="10">
        <v>600</v>
      </c>
      <c r="Y57" s="10">
        <v>600</v>
      </c>
      <c r="Z57" s="10">
        <v>1000</v>
      </c>
      <c r="AA57" s="10">
        <v>1000</v>
      </c>
      <c r="AB57" s="10">
        <v>1000</v>
      </c>
      <c r="AC57" s="10">
        <v>1000</v>
      </c>
      <c r="AD57" s="10">
        <v>1000</v>
      </c>
      <c r="AE57" s="10">
        <v>1000</v>
      </c>
      <c r="AF57" s="10">
        <v>1000</v>
      </c>
      <c r="AG57" s="10">
        <v>1000</v>
      </c>
      <c r="AH57" s="10">
        <v>1000</v>
      </c>
      <c r="AI57" s="10">
        <v>1000</v>
      </c>
      <c r="AJ57" s="10">
        <v>1000</v>
      </c>
      <c r="AK57" s="10">
        <v>1000</v>
      </c>
      <c r="AL57" s="10">
        <v>1000</v>
      </c>
      <c r="AM57" s="10">
        <v>1000</v>
      </c>
      <c r="AN57" s="10">
        <v>1000</v>
      </c>
      <c r="AO57" s="10">
        <v>1000</v>
      </c>
      <c r="AP57" s="10">
        <v>1000</v>
      </c>
      <c r="AQ57" s="10">
        <v>1000</v>
      </c>
      <c r="AR57" s="10">
        <v>1000</v>
      </c>
      <c r="AS57" s="10">
        <v>1000</v>
      </c>
      <c r="AT57" s="10">
        <v>1000</v>
      </c>
      <c r="AU57" s="10">
        <v>1000</v>
      </c>
      <c r="AV57" s="10">
        <v>1000</v>
      </c>
      <c r="AW57" s="10">
        <v>1000</v>
      </c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</row>
    <row r="58" spans="1:61" s="16" customFormat="1" ht="21" customHeight="1" outlineLevel="1" x14ac:dyDescent="0.45">
      <c r="A58" s="41" t="s">
        <v>163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>
        <v>7500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</row>
    <row r="59" spans="1:61" s="16" customFormat="1" ht="21" customHeight="1" outlineLevel="1" x14ac:dyDescent="0.45">
      <c r="A59" s="41" t="s">
        <v>111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>
        <v>500</v>
      </c>
      <c r="R59" s="10">
        <v>500</v>
      </c>
      <c r="S59" s="10">
        <v>500</v>
      </c>
      <c r="T59" s="10">
        <v>500</v>
      </c>
      <c r="U59" s="10">
        <v>500</v>
      </c>
      <c r="V59" s="10">
        <v>500</v>
      </c>
      <c r="W59" s="10">
        <v>500</v>
      </c>
      <c r="X59" s="10">
        <v>500</v>
      </c>
      <c r="Y59" s="10">
        <v>500</v>
      </c>
      <c r="Z59" s="10">
        <v>500</v>
      </c>
      <c r="AA59" s="10">
        <v>500</v>
      </c>
      <c r="AB59" s="10">
        <v>500</v>
      </c>
      <c r="AC59" s="10">
        <v>500</v>
      </c>
      <c r="AD59" s="10">
        <v>500</v>
      </c>
      <c r="AE59" s="10">
        <v>500</v>
      </c>
      <c r="AF59" s="10">
        <v>500</v>
      </c>
      <c r="AG59" s="10">
        <v>500</v>
      </c>
      <c r="AH59" s="10">
        <v>500</v>
      </c>
      <c r="AI59" s="10">
        <v>500</v>
      </c>
      <c r="AJ59" s="10">
        <v>500</v>
      </c>
      <c r="AK59" s="10">
        <v>500</v>
      </c>
      <c r="AL59" s="10">
        <v>500</v>
      </c>
      <c r="AM59" s="10">
        <v>500</v>
      </c>
      <c r="AN59" s="10">
        <v>500</v>
      </c>
      <c r="AO59" s="10">
        <v>500</v>
      </c>
      <c r="AP59" s="10">
        <v>500</v>
      </c>
      <c r="AQ59" s="10">
        <v>500</v>
      </c>
      <c r="AR59" s="10">
        <v>500</v>
      </c>
      <c r="AS59" s="10">
        <v>500</v>
      </c>
      <c r="AT59" s="10">
        <v>500</v>
      </c>
      <c r="AU59" s="10">
        <v>500</v>
      </c>
      <c r="AV59" s="10">
        <v>500</v>
      </c>
      <c r="AW59" s="10">
        <v>500</v>
      </c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</row>
    <row r="60" spans="1:61" s="16" customFormat="1" ht="21" customHeight="1" outlineLevel="1" x14ac:dyDescent="0.45">
      <c r="A60" s="41" t="s">
        <v>112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>
        <v>500</v>
      </c>
      <c r="R60" s="10">
        <v>500</v>
      </c>
      <c r="S60" s="10">
        <v>500</v>
      </c>
      <c r="T60" s="10">
        <v>500</v>
      </c>
      <c r="U60" s="10">
        <v>500</v>
      </c>
      <c r="V60" s="10">
        <v>500</v>
      </c>
      <c r="W60" s="10">
        <v>500</v>
      </c>
      <c r="X60" s="10">
        <v>500</v>
      </c>
      <c r="Y60" s="10">
        <v>500</v>
      </c>
      <c r="Z60" s="10">
        <v>500</v>
      </c>
      <c r="AA60" s="10">
        <v>500</v>
      </c>
      <c r="AB60" s="10">
        <v>500</v>
      </c>
      <c r="AC60" s="10">
        <v>500</v>
      </c>
      <c r="AD60" s="10">
        <v>500</v>
      </c>
      <c r="AE60" s="10">
        <v>500</v>
      </c>
      <c r="AF60" s="10">
        <v>500</v>
      </c>
      <c r="AG60" s="10">
        <v>500</v>
      </c>
      <c r="AH60" s="10">
        <v>500</v>
      </c>
      <c r="AI60" s="10">
        <v>500</v>
      </c>
      <c r="AJ60" s="10">
        <v>500</v>
      </c>
      <c r="AK60" s="10">
        <v>500</v>
      </c>
      <c r="AL60" s="10">
        <v>500</v>
      </c>
      <c r="AM60" s="10">
        <v>500</v>
      </c>
      <c r="AN60" s="10">
        <v>500</v>
      </c>
      <c r="AO60" s="10">
        <v>500</v>
      </c>
      <c r="AP60" s="10">
        <v>500</v>
      </c>
      <c r="AQ60" s="10">
        <v>500</v>
      </c>
      <c r="AR60" s="10">
        <v>500</v>
      </c>
      <c r="AS60" s="10">
        <v>500</v>
      </c>
      <c r="AT60" s="10">
        <v>500</v>
      </c>
      <c r="AU60" s="10">
        <v>500</v>
      </c>
      <c r="AV60" s="10">
        <v>500</v>
      </c>
      <c r="AW60" s="10">
        <v>500</v>
      </c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</row>
    <row r="61" spans="1:61" s="16" customFormat="1" ht="21" customHeight="1" outlineLevel="1" x14ac:dyDescent="0.45">
      <c r="A61" s="41" t="s">
        <v>113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>
        <v>500</v>
      </c>
      <c r="W61" s="10">
        <v>500</v>
      </c>
      <c r="X61" s="10">
        <v>500</v>
      </c>
      <c r="Y61" s="10">
        <v>500</v>
      </c>
      <c r="Z61" s="10">
        <v>500</v>
      </c>
      <c r="AA61" s="10">
        <v>500</v>
      </c>
      <c r="AB61" s="10">
        <v>500</v>
      </c>
      <c r="AC61" s="10">
        <v>500</v>
      </c>
      <c r="AD61" s="10">
        <v>500</v>
      </c>
      <c r="AE61" s="10">
        <v>500</v>
      </c>
      <c r="AF61" s="10">
        <v>500</v>
      </c>
      <c r="AG61" s="10">
        <v>500</v>
      </c>
      <c r="AH61" s="10">
        <v>500</v>
      </c>
      <c r="AI61" s="10">
        <v>500</v>
      </c>
      <c r="AJ61" s="10">
        <v>500</v>
      </c>
      <c r="AK61" s="10">
        <v>500</v>
      </c>
      <c r="AL61" s="10">
        <v>500</v>
      </c>
      <c r="AM61" s="10">
        <v>500</v>
      </c>
      <c r="AN61" s="10">
        <v>500</v>
      </c>
      <c r="AO61" s="10">
        <v>500</v>
      </c>
      <c r="AP61" s="10">
        <v>500</v>
      </c>
      <c r="AQ61" s="10">
        <v>500</v>
      </c>
      <c r="AR61" s="10">
        <v>500</v>
      </c>
      <c r="AS61" s="10">
        <v>500</v>
      </c>
      <c r="AT61" s="10">
        <v>500</v>
      </c>
      <c r="AU61" s="10">
        <v>500</v>
      </c>
      <c r="AV61" s="10">
        <v>500</v>
      </c>
      <c r="AW61" s="10">
        <v>500</v>
      </c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</row>
    <row r="62" spans="1:61" s="16" customFormat="1" ht="21" customHeight="1" outlineLevel="1" x14ac:dyDescent="0.45">
      <c r="A62" s="41" t="s">
        <v>122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>
        <v>500</v>
      </c>
      <c r="W62" s="10">
        <v>500</v>
      </c>
      <c r="X62" s="10">
        <v>500</v>
      </c>
      <c r="Y62" s="10">
        <v>500</v>
      </c>
      <c r="Z62" s="10">
        <v>500</v>
      </c>
      <c r="AA62" s="10">
        <v>500</v>
      </c>
      <c r="AB62" s="10">
        <v>500</v>
      </c>
      <c r="AC62" s="10">
        <v>500</v>
      </c>
      <c r="AD62" s="10">
        <v>500</v>
      </c>
      <c r="AE62" s="10">
        <v>500</v>
      </c>
      <c r="AF62" s="10">
        <v>500</v>
      </c>
      <c r="AG62" s="10">
        <v>500</v>
      </c>
      <c r="AH62" s="10">
        <v>500</v>
      </c>
      <c r="AI62" s="10">
        <v>500</v>
      </c>
      <c r="AJ62" s="10">
        <v>500</v>
      </c>
      <c r="AK62" s="10">
        <v>500</v>
      </c>
      <c r="AL62" s="10">
        <v>500</v>
      </c>
      <c r="AM62" s="10">
        <v>500</v>
      </c>
      <c r="AN62" s="10">
        <v>500</v>
      </c>
      <c r="AO62" s="10">
        <v>500</v>
      </c>
      <c r="AP62" s="10">
        <v>500</v>
      </c>
      <c r="AQ62" s="10">
        <v>500</v>
      </c>
      <c r="AR62" s="10">
        <v>500</v>
      </c>
      <c r="AS62" s="10">
        <v>500</v>
      </c>
      <c r="AT62" s="10">
        <v>500</v>
      </c>
      <c r="AU62" s="10">
        <v>500</v>
      </c>
      <c r="AV62" s="10">
        <v>500</v>
      </c>
      <c r="AW62" s="10">
        <v>500</v>
      </c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</row>
    <row r="63" spans="1:61" s="16" customFormat="1" ht="21" customHeight="1" outlineLevel="1" x14ac:dyDescent="0.45">
      <c r="A63" s="17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</row>
    <row r="65" spans="1:61" s="9" customFormat="1" ht="25.5" x14ac:dyDescent="0.75">
      <c r="A65" s="18" t="s">
        <v>39</v>
      </c>
      <c r="B65" s="9" t="e">
        <f t="shared" ref="B65:AG65" si="15">B4-B15-B43</f>
        <v>#REF!</v>
      </c>
      <c r="C65" s="9" t="e">
        <f t="shared" si="15"/>
        <v>#REF!</v>
      </c>
      <c r="D65" s="9" t="e">
        <f t="shared" si="15"/>
        <v>#REF!</v>
      </c>
      <c r="E65" s="9">
        <f t="shared" si="15"/>
        <v>-2516.8000000000002</v>
      </c>
      <c r="F65" s="9">
        <f t="shared" si="15"/>
        <v>-9610</v>
      </c>
      <c r="G65" s="9">
        <f t="shared" si="15"/>
        <v>-63520.377933884294</v>
      </c>
      <c r="H65" s="9">
        <f t="shared" si="15"/>
        <v>-15115.4</v>
      </c>
      <c r="I65" s="9">
        <f t="shared" si="15"/>
        <v>-29396.724999999999</v>
      </c>
      <c r="J65" s="9">
        <f t="shared" si="15"/>
        <v>-9596.73</v>
      </c>
      <c r="K65" s="9">
        <f t="shared" si="15"/>
        <v>-71218.399999999994</v>
      </c>
      <c r="L65" s="9">
        <f t="shared" si="15"/>
        <v>-10918.4</v>
      </c>
      <c r="M65" s="9">
        <f t="shared" si="15"/>
        <v>-130997.4</v>
      </c>
      <c r="N65" s="9">
        <f t="shared" si="15"/>
        <v>-43095.747107438016</v>
      </c>
      <c r="O65" s="9">
        <f t="shared" si="15"/>
        <v>20290.203305785126</v>
      </c>
      <c r="P65" s="9">
        <f t="shared" si="15"/>
        <v>24426.153719008267</v>
      </c>
      <c r="Q65" s="9">
        <f t="shared" si="15"/>
        <v>24712.104132231405</v>
      </c>
      <c r="R65" s="9">
        <f t="shared" si="15"/>
        <v>813.75702479339998</v>
      </c>
      <c r="S65" s="9">
        <f t="shared" si="15"/>
        <v>67802.847933884303</v>
      </c>
      <c r="T65" s="9">
        <f t="shared" si="15"/>
        <v>76351.938842975214</v>
      </c>
      <c r="U65" s="9">
        <f t="shared" si="15"/>
        <v>84901.029752066126</v>
      </c>
      <c r="V65" s="9">
        <f t="shared" si="15"/>
        <v>114551.77355371902</v>
      </c>
      <c r="W65" s="9">
        <f t="shared" si="15"/>
        <v>79372.765289256204</v>
      </c>
      <c r="X65" s="9">
        <f t="shared" si="15"/>
        <v>150693.75702479339</v>
      </c>
      <c r="Y65" s="9">
        <f t="shared" si="15"/>
        <v>169166.31900826449</v>
      </c>
      <c r="Z65" s="9">
        <f t="shared" si="15"/>
        <v>191732.02148760331</v>
      </c>
      <c r="AA65" s="9">
        <f t="shared" si="15"/>
        <v>88347.723966942169</v>
      </c>
      <c r="AB65" s="9">
        <f t="shared" si="15"/>
        <v>231663.42644628102</v>
      </c>
      <c r="AC65" s="9">
        <f t="shared" si="15"/>
        <v>259479.12892561985</v>
      </c>
      <c r="AD65" s="9">
        <f t="shared" si="15"/>
        <v>282794.83140495868</v>
      </c>
      <c r="AE65" s="9">
        <f t="shared" si="15"/>
        <v>306110.53388429753</v>
      </c>
      <c r="AF65" s="9">
        <f t="shared" si="15"/>
        <v>324754.33553719008</v>
      </c>
      <c r="AG65" s="9">
        <f t="shared" si="15"/>
        <v>340298.13719008263</v>
      </c>
      <c r="AH65" s="9">
        <f t="shared" ref="AH65:BI65" si="16">AH4-AH15-AH43</f>
        <v>360513.83966942149</v>
      </c>
      <c r="AI65" s="9">
        <f t="shared" si="16"/>
        <v>278829.54214876035</v>
      </c>
      <c r="AJ65" s="9">
        <f t="shared" si="16"/>
        <v>407145.2446280992</v>
      </c>
      <c r="AK65" s="9">
        <f t="shared" si="16"/>
        <v>430460.947107438</v>
      </c>
      <c r="AL65" s="9">
        <f t="shared" si="16"/>
        <v>456612.60000000003</v>
      </c>
      <c r="AM65" s="9">
        <f t="shared" si="16"/>
        <v>358814.25289256201</v>
      </c>
      <c r="AN65" s="9">
        <f t="shared" si="16"/>
        <v>506015.90578512393</v>
      </c>
      <c r="AO65" s="9">
        <f t="shared" si="16"/>
        <v>538217.55867768591</v>
      </c>
      <c r="AP65" s="9">
        <f t="shared" si="16"/>
        <v>565419.21157024789</v>
      </c>
      <c r="AQ65" s="9">
        <f t="shared" si="16"/>
        <v>592620.86446280999</v>
      </c>
      <c r="AR65" s="9">
        <f t="shared" si="16"/>
        <v>615650.6165289256</v>
      </c>
      <c r="AS65" s="9">
        <f t="shared" si="16"/>
        <v>635080.36859504133</v>
      </c>
      <c r="AT65" s="9">
        <f t="shared" si="16"/>
        <v>658682.02148760331</v>
      </c>
      <c r="AU65" s="9">
        <f t="shared" si="16"/>
        <v>680883.67438016529</v>
      </c>
      <c r="AV65" s="9">
        <f t="shared" si="16"/>
        <v>720257.22809917363</v>
      </c>
      <c r="AW65" s="9">
        <f t="shared" si="16"/>
        <v>759402.6826446281</v>
      </c>
      <c r="AX65" s="9" t="e">
        <f t="shared" si="16"/>
        <v>#REF!</v>
      </c>
      <c r="AY65" s="9" t="e">
        <f t="shared" si="16"/>
        <v>#REF!</v>
      </c>
      <c r="AZ65" s="9" t="e">
        <f t="shared" si="16"/>
        <v>#REF!</v>
      </c>
      <c r="BA65" s="9" t="e">
        <f t="shared" si="16"/>
        <v>#REF!</v>
      </c>
      <c r="BB65" s="9" t="e">
        <f t="shared" si="16"/>
        <v>#REF!</v>
      </c>
      <c r="BC65" s="9" t="e">
        <f t="shared" si="16"/>
        <v>#REF!</v>
      </c>
      <c r="BD65" s="9" t="e">
        <f t="shared" si="16"/>
        <v>#REF!</v>
      </c>
      <c r="BE65" s="9" t="e">
        <f t="shared" si="16"/>
        <v>#REF!</v>
      </c>
      <c r="BF65" s="9" t="e">
        <f t="shared" si="16"/>
        <v>#REF!</v>
      </c>
      <c r="BG65" s="9" t="e">
        <f t="shared" si="16"/>
        <v>#REF!</v>
      </c>
      <c r="BH65" s="9" t="e">
        <f t="shared" si="16"/>
        <v>#REF!</v>
      </c>
      <c r="BI65" s="9" t="e">
        <f t="shared" si="16"/>
        <v>#REF!</v>
      </c>
    </row>
    <row r="66" spans="1:61" s="19" customFormat="1" x14ac:dyDescent="0.45">
      <c r="BI66" s="20"/>
    </row>
    <row r="67" spans="1:61" ht="19.5" x14ac:dyDescent="0.6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</row>
    <row r="68" spans="1:61" s="12" customFormat="1" ht="19.5" x14ac:dyDescent="0.6">
      <c r="A68" s="12" t="s">
        <v>40</v>
      </c>
      <c r="B68" s="9">
        <f t="shared" ref="B68:AG68" si="17">SUM(B69:B90)</f>
        <v>0</v>
      </c>
      <c r="C68" s="9">
        <f t="shared" si="17"/>
        <v>0</v>
      </c>
      <c r="D68" s="9">
        <f t="shared" si="17"/>
        <v>0</v>
      </c>
      <c r="E68" s="9">
        <f>SUM(E69:E90)</f>
        <v>0</v>
      </c>
      <c r="F68" s="9">
        <f t="shared" si="17"/>
        <v>0</v>
      </c>
      <c r="G68" s="9">
        <f t="shared" si="17"/>
        <v>0</v>
      </c>
      <c r="H68" s="9">
        <f t="shared" si="17"/>
        <v>0</v>
      </c>
      <c r="I68" s="9">
        <f t="shared" si="17"/>
        <v>2000</v>
      </c>
      <c r="J68" s="9">
        <f t="shared" si="17"/>
        <v>2000</v>
      </c>
      <c r="K68" s="9">
        <f t="shared" si="17"/>
        <v>2000</v>
      </c>
      <c r="L68" s="9">
        <f t="shared" si="17"/>
        <v>4000</v>
      </c>
      <c r="M68" s="9">
        <f t="shared" si="17"/>
        <v>8606.7708333333339</v>
      </c>
      <c r="N68" s="9">
        <f t="shared" si="17"/>
        <v>9356.7708333333339</v>
      </c>
      <c r="O68" s="9">
        <f t="shared" si="17"/>
        <v>9356.7708333333339</v>
      </c>
      <c r="P68" s="9">
        <f t="shared" si="17"/>
        <v>9356.7708333333339</v>
      </c>
      <c r="Q68" s="9">
        <f t="shared" si="17"/>
        <v>19320.3125</v>
      </c>
      <c r="R68" s="9">
        <f t="shared" si="17"/>
        <v>19320.3125</v>
      </c>
      <c r="S68" s="9">
        <f t="shared" si="17"/>
        <v>19320.3125</v>
      </c>
      <c r="T68" s="9">
        <f t="shared" si="17"/>
        <v>19320.3125</v>
      </c>
      <c r="U68" s="9">
        <f t="shared" si="17"/>
        <v>19320.3125</v>
      </c>
      <c r="V68" s="9">
        <f t="shared" si="17"/>
        <v>22927.083333333332</v>
      </c>
      <c r="W68" s="9">
        <f t="shared" si="17"/>
        <v>22927.083333333332</v>
      </c>
      <c r="X68" s="9">
        <f t="shared" si="17"/>
        <v>22927.083333333332</v>
      </c>
      <c r="Y68" s="9">
        <f t="shared" si="17"/>
        <v>22927.083333333332</v>
      </c>
      <c r="Z68" s="9">
        <f t="shared" si="17"/>
        <v>29074.869791666664</v>
      </c>
      <c r="AA68" s="9">
        <f t="shared" si="17"/>
        <v>29074.869791666664</v>
      </c>
      <c r="AB68" s="9">
        <f t="shared" si="17"/>
        <v>29074.869791666664</v>
      </c>
      <c r="AC68" s="9">
        <f t="shared" si="17"/>
        <v>29074.869791666664</v>
      </c>
      <c r="AD68" s="9">
        <f t="shared" si="17"/>
        <v>29074.869791666664</v>
      </c>
      <c r="AE68" s="9">
        <f t="shared" si="17"/>
        <v>29074.869791666664</v>
      </c>
      <c r="AF68" s="9">
        <f t="shared" si="17"/>
        <v>29074.869791666664</v>
      </c>
      <c r="AG68" s="9">
        <f t="shared" si="17"/>
        <v>29074.869791666664</v>
      </c>
      <c r="AH68" s="9">
        <f t="shared" ref="AH68:BI68" si="18">SUM(AH69:AH90)</f>
        <v>29074.869791666664</v>
      </c>
      <c r="AI68" s="9">
        <f t="shared" si="18"/>
        <v>29074.869791666664</v>
      </c>
      <c r="AJ68" s="9">
        <f t="shared" si="18"/>
        <v>29074.869791666664</v>
      </c>
      <c r="AK68" s="9">
        <f t="shared" si="18"/>
        <v>29074.869791666664</v>
      </c>
      <c r="AL68" s="9">
        <f t="shared" si="18"/>
        <v>30782.115885416664</v>
      </c>
      <c r="AM68" s="9">
        <f t="shared" si="18"/>
        <v>31356.079361979173</v>
      </c>
      <c r="AN68" s="9">
        <f t="shared" si="18"/>
        <v>31947.261742838546</v>
      </c>
      <c r="AO68" s="9">
        <f t="shared" si="18"/>
        <v>32556.179595123704</v>
      </c>
      <c r="AP68" s="9">
        <f t="shared" si="18"/>
        <v>33183.364982977408</v>
      </c>
      <c r="AQ68" s="9">
        <f t="shared" si="18"/>
        <v>33829.365932466731</v>
      </c>
      <c r="AR68" s="9">
        <f t="shared" si="18"/>
        <v>34844.746910440736</v>
      </c>
      <c r="AS68" s="9">
        <f t="shared" si="18"/>
        <v>35530.089317753955</v>
      </c>
      <c r="AT68" s="9">
        <f t="shared" si="18"/>
        <v>36235.991997286583</v>
      </c>
      <c r="AU68" s="9">
        <f t="shared" si="18"/>
        <v>36963.07175720518</v>
      </c>
      <c r="AV68" s="9">
        <f t="shared" si="18"/>
        <v>37711.963909921324</v>
      </c>
      <c r="AW68" s="9">
        <f t="shared" si="18"/>
        <v>38483.322827218966</v>
      </c>
      <c r="AX68" s="9">
        <f t="shared" si="18"/>
        <v>3606.7708333333335</v>
      </c>
      <c r="AY68" s="9">
        <f t="shared" si="18"/>
        <v>3606.7708333333335</v>
      </c>
      <c r="AZ68" s="9">
        <f t="shared" si="18"/>
        <v>0</v>
      </c>
      <c r="BA68" s="9">
        <f t="shared" si="18"/>
        <v>0</v>
      </c>
      <c r="BB68" s="9">
        <f t="shared" si="18"/>
        <v>0</v>
      </c>
      <c r="BC68" s="9">
        <f t="shared" si="18"/>
        <v>0</v>
      </c>
      <c r="BD68" s="9">
        <f t="shared" si="18"/>
        <v>0</v>
      </c>
      <c r="BE68" s="9">
        <f t="shared" si="18"/>
        <v>0</v>
      </c>
      <c r="BF68" s="9">
        <f t="shared" si="18"/>
        <v>0</v>
      </c>
      <c r="BG68" s="9">
        <f t="shared" si="18"/>
        <v>0</v>
      </c>
      <c r="BH68" s="9">
        <f t="shared" si="18"/>
        <v>0</v>
      </c>
      <c r="BI68" s="9">
        <f t="shared" si="18"/>
        <v>0</v>
      </c>
    </row>
    <row r="69" spans="1:61" outlineLevel="1" x14ac:dyDescent="0.4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</row>
    <row r="70" spans="1:61" s="16" customFormat="1" ht="21" customHeight="1" outlineLevel="1" x14ac:dyDescent="0.45">
      <c r="A70" s="41" t="s">
        <v>19</v>
      </c>
      <c r="B70" s="10"/>
      <c r="C70" s="10"/>
      <c r="D70" s="10"/>
      <c r="E70" s="10">
        <f>+'Masse salariale'!I7</f>
        <v>0</v>
      </c>
      <c r="F70" s="10">
        <f>+'Masse salariale'!J7</f>
        <v>0</v>
      </c>
      <c r="G70" s="10">
        <f>+'Masse salariale'!K7</f>
        <v>0</v>
      </c>
      <c r="H70" s="10">
        <f>+'Masse salariale'!L7</f>
        <v>0</v>
      </c>
      <c r="I70" s="10">
        <f>+'Masse salariale'!M7</f>
        <v>2000</v>
      </c>
      <c r="J70" s="10">
        <f>+'Masse salariale'!N7</f>
        <v>2000</v>
      </c>
      <c r="K70" s="10">
        <f>+'Masse salariale'!O7</f>
        <v>2000</v>
      </c>
      <c r="L70" s="10">
        <f>+'Masse salariale'!P7</f>
        <v>2000</v>
      </c>
      <c r="M70" s="10">
        <f>+'Masse salariale'!Q7</f>
        <v>3000</v>
      </c>
      <c r="N70" s="10">
        <f>+'Masse salariale'!R7</f>
        <v>3000</v>
      </c>
      <c r="O70" s="10">
        <f>+'Masse salariale'!S7</f>
        <v>3000</v>
      </c>
      <c r="P70" s="10">
        <f>+'Masse salariale'!T7</f>
        <v>3000</v>
      </c>
      <c r="Q70" s="10">
        <f>+'Masse salariale'!U7</f>
        <v>5000</v>
      </c>
      <c r="R70" s="10">
        <f>+'Masse salariale'!V7</f>
        <v>5000</v>
      </c>
      <c r="S70" s="10">
        <f>+'Masse salariale'!W7</f>
        <v>5000</v>
      </c>
      <c r="T70" s="10">
        <f>+'Masse salariale'!X7</f>
        <v>5000</v>
      </c>
      <c r="U70" s="10">
        <f>+'Masse salariale'!Y7</f>
        <v>5000</v>
      </c>
      <c r="V70" s="10">
        <f>+'Masse salariale'!Z7</f>
        <v>5000</v>
      </c>
      <c r="W70" s="10">
        <f>+'Masse salariale'!AA7</f>
        <v>5000</v>
      </c>
      <c r="X70" s="10">
        <f>+'Masse salariale'!AB7</f>
        <v>5000</v>
      </c>
      <c r="Y70" s="10">
        <f>+'Masse salariale'!AC7</f>
        <v>5000</v>
      </c>
      <c r="Z70" s="10">
        <f>+'Masse salariale'!AD7</f>
        <v>6500</v>
      </c>
      <c r="AA70" s="10">
        <f>+'Masse salariale'!AE7</f>
        <v>6500</v>
      </c>
      <c r="AB70" s="10">
        <f>+'Masse salariale'!AF7</f>
        <v>6500</v>
      </c>
      <c r="AC70" s="10">
        <f>+'Masse salariale'!AG7</f>
        <v>6500</v>
      </c>
      <c r="AD70" s="10">
        <f>+'Masse salariale'!AH7</f>
        <v>6500</v>
      </c>
      <c r="AE70" s="10">
        <f>+'Masse salariale'!AI7</f>
        <v>6500</v>
      </c>
      <c r="AF70" s="10">
        <f>+'Masse salariale'!AJ7</f>
        <v>6500</v>
      </c>
      <c r="AG70" s="10">
        <f>+'Masse salariale'!AK7</f>
        <v>6500</v>
      </c>
      <c r="AH70" s="10">
        <f>+'Masse salariale'!AL7</f>
        <v>6500</v>
      </c>
      <c r="AI70" s="10">
        <f>+'Masse salariale'!AM7</f>
        <v>6500</v>
      </c>
      <c r="AJ70" s="10">
        <f>+'Masse salariale'!AN7</f>
        <v>6500</v>
      </c>
      <c r="AK70" s="10">
        <f>+'Masse salariale'!AO7</f>
        <v>6500</v>
      </c>
      <c r="AL70" s="10">
        <f>+'Masse salariale'!AP7</f>
        <v>6500</v>
      </c>
      <c r="AM70" s="10">
        <f>+'Masse salariale'!AQ7</f>
        <v>6500</v>
      </c>
      <c r="AN70" s="10">
        <f>+'Masse salariale'!AR7</f>
        <v>6500</v>
      </c>
      <c r="AO70" s="10">
        <f>+'Masse salariale'!AS7</f>
        <v>6500</v>
      </c>
      <c r="AP70" s="10">
        <f>+'Masse salariale'!AT7</f>
        <v>6500</v>
      </c>
      <c r="AQ70" s="10">
        <f>+'Masse salariale'!AU7</f>
        <v>6500</v>
      </c>
      <c r="AR70" s="10">
        <f>+'Masse salariale'!AV7</f>
        <v>6500</v>
      </c>
      <c r="AS70" s="10">
        <f>+'Masse salariale'!AW7</f>
        <v>6500</v>
      </c>
      <c r="AT70" s="10">
        <f>+'Masse salariale'!AX7</f>
        <v>6500</v>
      </c>
      <c r="AU70" s="10">
        <f>+'Masse salariale'!AY7</f>
        <v>6500</v>
      </c>
      <c r="AV70" s="10">
        <f>+'Masse salariale'!AZ7</f>
        <v>6500</v>
      </c>
      <c r="AW70" s="10">
        <f>+'Masse salariale'!BA7</f>
        <v>6500</v>
      </c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</row>
    <row r="71" spans="1:61" s="16" customFormat="1" ht="21" customHeight="1" outlineLevel="1" x14ac:dyDescent="0.45">
      <c r="A71" s="41" t="s">
        <v>0</v>
      </c>
      <c r="B71" s="10"/>
      <c r="C71" s="10"/>
      <c r="D71" s="10"/>
      <c r="E71" s="10">
        <f>+'Masse salariale'!I8</f>
        <v>0</v>
      </c>
      <c r="F71" s="10">
        <f>+'Masse salariale'!J8</f>
        <v>0</v>
      </c>
      <c r="G71" s="10">
        <f>+'Masse salariale'!K8</f>
        <v>0</v>
      </c>
      <c r="H71" s="10">
        <f>+'Masse salariale'!L8</f>
        <v>0</v>
      </c>
      <c r="I71" s="10">
        <f>+'Masse salariale'!M8</f>
        <v>0</v>
      </c>
      <c r="J71" s="10">
        <f>+'Masse salariale'!N8</f>
        <v>0</v>
      </c>
      <c r="K71" s="10">
        <f>+'Masse salariale'!O8</f>
        <v>0</v>
      </c>
      <c r="L71" s="10">
        <f>+'Masse salariale'!P8</f>
        <v>2000</v>
      </c>
      <c r="M71" s="10">
        <f>+'Masse salariale'!Q8</f>
        <v>2000</v>
      </c>
      <c r="N71" s="10">
        <f>+'Masse salariale'!R8</f>
        <v>2750</v>
      </c>
      <c r="O71" s="10">
        <f>+'Masse salariale'!S8</f>
        <v>2750</v>
      </c>
      <c r="P71" s="10">
        <f>+'Masse salariale'!T8</f>
        <v>2750</v>
      </c>
      <c r="Q71" s="10">
        <f>+'Masse salariale'!U8</f>
        <v>3500</v>
      </c>
      <c r="R71" s="10">
        <f>+'Masse salariale'!V8</f>
        <v>3500</v>
      </c>
      <c r="S71" s="10">
        <f>+'Masse salariale'!W8</f>
        <v>3500</v>
      </c>
      <c r="T71" s="10">
        <f>+'Masse salariale'!X8</f>
        <v>3500</v>
      </c>
      <c r="U71" s="10">
        <f>+'Masse salariale'!Y8</f>
        <v>3500</v>
      </c>
      <c r="V71" s="10">
        <f>+'Masse salariale'!Z8</f>
        <v>3500</v>
      </c>
      <c r="W71" s="10">
        <f>+'Masse salariale'!AA8</f>
        <v>3500</v>
      </c>
      <c r="X71" s="10">
        <f>+'Masse salariale'!AB8</f>
        <v>3500</v>
      </c>
      <c r="Y71" s="10">
        <f>+'Masse salariale'!AC8</f>
        <v>3500</v>
      </c>
      <c r="Z71" s="10">
        <f>+'Masse salariale'!AD8</f>
        <v>4000</v>
      </c>
      <c r="AA71" s="10">
        <f>+'Masse salariale'!AE8</f>
        <v>4000</v>
      </c>
      <c r="AB71" s="10">
        <f>+'Masse salariale'!AF8</f>
        <v>4000</v>
      </c>
      <c r="AC71" s="10">
        <f>+'Masse salariale'!AG8</f>
        <v>4000</v>
      </c>
      <c r="AD71" s="10">
        <f>+'Masse salariale'!AH8</f>
        <v>4000</v>
      </c>
      <c r="AE71" s="10">
        <f>+'Masse salariale'!AI8</f>
        <v>4000</v>
      </c>
      <c r="AF71" s="10">
        <f>+'Masse salariale'!AJ8</f>
        <v>4000</v>
      </c>
      <c r="AG71" s="10">
        <f>+'Masse salariale'!AK8</f>
        <v>4000</v>
      </c>
      <c r="AH71" s="10">
        <f>+'Masse salariale'!AL8</f>
        <v>4000</v>
      </c>
      <c r="AI71" s="10">
        <f>+'Masse salariale'!AM8</f>
        <v>4000</v>
      </c>
      <c r="AJ71" s="10">
        <f>+'Masse salariale'!AN8</f>
        <v>4000</v>
      </c>
      <c r="AK71" s="10">
        <f>+'Masse salariale'!AO8</f>
        <v>4000</v>
      </c>
      <c r="AL71" s="10">
        <f>+'Masse salariale'!AP8</f>
        <v>5150</v>
      </c>
      <c r="AM71" s="10">
        <f>+'Masse salariale'!AQ8</f>
        <v>5150</v>
      </c>
      <c r="AN71" s="10">
        <f>+'Masse salariale'!AR8</f>
        <v>5150</v>
      </c>
      <c r="AO71" s="10">
        <f>+'Masse salariale'!AS8</f>
        <v>5150</v>
      </c>
      <c r="AP71" s="10">
        <f>+'Masse salariale'!AT8</f>
        <v>5150</v>
      </c>
      <c r="AQ71" s="10">
        <f>+'Masse salariale'!AU8</f>
        <v>5150</v>
      </c>
      <c r="AR71" s="10">
        <f>+'Masse salariale'!AV8</f>
        <v>5500</v>
      </c>
      <c r="AS71" s="10">
        <f>+'Masse salariale'!AW8</f>
        <v>5500</v>
      </c>
      <c r="AT71" s="10">
        <f>+'Masse salariale'!AX8</f>
        <v>5500</v>
      </c>
      <c r="AU71" s="10">
        <f>+'Masse salariale'!AY8</f>
        <v>5500</v>
      </c>
      <c r="AV71" s="10">
        <f>+'Masse salariale'!AZ8</f>
        <v>5500</v>
      </c>
      <c r="AW71" s="10">
        <f>+'Masse salariale'!BA8</f>
        <v>5500</v>
      </c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</row>
    <row r="72" spans="1:61" s="16" customFormat="1" ht="21" customHeight="1" outlineLevel="1" x14ac:dyDescent="0.45">
      <c r="A72" s="41" t="s">
        <v>136</v>
      </c>
      <c r="B72" s="10"/>
      <c r="C72" s="10"/>
      <c r="D72" s="10"/>
      <c r="E72" s="10">
        <f>+'Masse salariale'!I9</f>
        <v>0</v>
      </c>
      <c r="F72" s="10">
        <f>+'Masse salariale'!J9</f>
        <v>0</v>
      </c>
      <c r="G72" s="10">
        <f>+'Masse salariale'!K9</f>
        <v>0</v>
      </c>
      <c r="H72" s="10">
        <f>+'Masse salariale'!L9</f>
        <v>0</v>
      </c>
      <c r="I72" s="10">
        <f>+'Masse salariale'!M9</f>
        <v>0</v>
      </c>
      <c r="J72" s="10">
        <f>+'Masse salariale'!N9</f>
        <v>0</v>
      </c>
      <c r="K72" s="10">
        <f>+'Masse salariale'!O9</f>
        <v>0</v>
      </c>
      <c r="L72" s="10">
        <f>+'Masse salariale'!P9</f>
        <v>0</v>
      </c>
      <c r="M72" s="10">
        <f>+'Masse salariale'!Q9</f>
        <v>3606.7708333333335</v>
      </c>
      <c r="N72" s="10">
        <f>+'Masse salariale'!R9</f>
        <v>3606.7708333333335</v>
      </c>
      <c r="O72" s="10">
        <f>+'Masse salariale'!S9</f>
        <v>3606.7708333333335</v>
      </c>
      <c r="P72" s="10">
        <f>+'Masse salariale'!T9</f>
        <v>3606.7708333333335</v>
      </c>
      <c r="Q72" s="10">
        <f>+'Masse salariale'!U9</f>
        <v>3606.7708333333335</v>
      </c>
      <c r="R72" s="10">
        <f>+'Masse salariale'!V9</f>
        <v>3606.7708333333335</v>
      </c>
      <c r="S72" s="10">
        <f>+'Masse salariale'!W9</f>
        <v>3606.7708333333335</v>
      </c>
      <c r="T72" s="10">
        <f>+'Masse salariale'!X9</f>
        <v>3606.7708333333335</v>
      </c>
      <c r="U72" s="10">
        <f>+'Masse salariale'!Y9</f>
        <v>3606.7708333333335</v>
      </c>
      <c r="V72" s="10">
        <f>+'Masse salariale'!Z9</f>
        <v>3606.7708333333335</v>
      </c>
      <c r="W72" s="10">
        <f>+'Masse salariale'!AA9</f>
        <v>3606.7708333333335</v>
      </c>
      <c r="X72" s="10">
        <f>+'Masse salariale'!AB9</f>
        <v>3606.7708333333335</v>
      </c>
      <c r="Y72" s="10">
        <f>+'Masse salariale'!AC9</f>
        <v>3606.7708333333335</v>
      </c>
      <c r="Z72" s="10">
        <f>+'Masse salariale'!AD9</f>
        <v>3714.9739583333335</v>
      </c>
      <c r="AA72" s="10">
        <f>+'Masse salariale'!AE9</f>
        <v>3714.9739583333335</v>
      </c>
      <c r="AB72" s="10">
        <f>+'Masse salariale'!AF9</f>
        <v>3714.9739583333335</v>
      </c>
      <c r="AC72" s="10">
        <f>+'Masse salariale'!AG9</f>
        <v>3714.9739583333335</v>
      </c>
      <c r="AD72" s="10">
        <f>+'Masse salariale'!AH9</f>
        <v>3714.9739583333335</v>
      </c>
      <c r="AE72" s="10">
        <f>+'Masse salariale'!AI9</f>
        <v>3714.9739583333335</v>
      </c>
      <c r="AF72" s="10">
        <f>+'Masse salariale'!AJ9</f>
        <v>3714.9739583333335</v>
      </c>
      <c r="AG72" s="10">
        <f>+'Masse salariale'!AK9</f>
        <v>3714.9739583333335</v>
      </c>
      <c r="AH72" s="10">
        <f>+'Masse salariale'!AL9</f>
        <v>3714.9739583333335</v>
      </c>
      <c r="AI72" s="10">
        <f>+'Masse salariale'!AM9</f>
        <v>3714.9739583333335</v>
      </c>
      <c r="AJ72" s="10">
        <f>+'Masse salariale'!AN9</f>
        <v>3714.9739583333335</v>
      </c>
      <c r="AK72" s="10">
        <f>+'Masse salariale'!AO9</f>
        <v>3714.9739583333335</v>
      </c>
      <c r="AL72" s="10">
        <f>+'Masse salariale'!AP9</f>
        <v>3826.4231770833335</v>
      </c>
      <c r="AM72" s="10">
        <f>+'Masse salariale'!AQ9</f>
        <v>3941.2158723958337</v>
      </c>
      <c r="AN72" s="10">
        <f>+'Masse salariale'!AR9</f>
        <v>4059.4523485677087</v>
      </c>
      <c r="AO72" s="10">
        <f>+'Masse salariale'!AS9</f>
        <v>4181.2359190247398</v>
      </c>
      <c r="AP72" s="10">
        <f>+'Masse salariale'!AT9</f>
        <v>4306.6729965954819</v>
      </c>
      <c r="AQ72" s="10">
        <f>+'Masse salariale'!AU9</f>
        <v>4435.8731864933461</v>
      </c>
      <c r="AR72" s="10">
        <f>+'Masse salariale'!AV9</f>
        <v>4568.9493820881462</v>
      </c>
      <c r="AS72" s="10">
        <f>+'Masse salariale'!AW9</f>
        <v>4706.0178635507909</v>
      </c>
      <c r="AT72" s="10">
        <f>+'Masse salariale'!AX9</f>
        <v>4847.1983994573147</v>
      </c>
      <c r="AU72" s="10">
        <f>+'Masse salariale'!AY9</f>
        <v>4992.6143514410342</v>
      </c>
      <c r="AV72" s="10">
        <f>+'Masse salariale'!AZ9</f>
        <v>5142.3927819842656</v>
      </c>
      <c r="AW72" s="10">
        <f>+'Masse salariale'!BA9</f>
        <v>5296.6645654437934</v>
      </c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</row>
    <row r="73" spans="1:61" ht="14.75" customHeight="1" outlineLevel="1" x14ac:dyDescent="0.45">
      <c r="A73" s="41" t="s">
        <v>29</v>
      </c>
      <c r="B73" s="14"/>
      <c r="C73" s="14"/>
      <c r="D73" s="14"/>
      <c r="E73" s="10">
        <f>+'Masse salariale'!I10</f>
        <v>0</v>
      </c>
      <c r="F73" s="10">
        <f>+'Masse salariale'!J10</f>
        <v>0</v>
      </c>
      <c r="G73" s="10">
        <f>+'Masse salariale'!K10</f>
        <v>0</v>
      </c>
      <c r="H73" s="10">
        <f>+'Masse salariale'!L10</f>
        <v>0</v>
      </c>
      <c r="I73" s="10">
        <f>+'Masse salariale'!M10</f>
        <v>0</v>
      </c>
      <c r="J73" s="10">
        <f>+'Masse salariale'!N10</f>
        <v>0</v>
      </c>
      <c r="K73" s="10">
        <f>+'Masse salariale'!O10</f>
        <v>0</v>
      </c>
      <c r="L73" s="10">
        <f>+'Masse salariale'!P10</f>
        <v>0</v>
      </c>
      <c r="M73" s="10">
        <f>+'Masse salariale'!Q10</f>
        <v>0</v>
      </c>
      <c r="N73" s="10">
        <f>+'Masse salariale'!R10</f>
        <v>0</v>
      </c>
      <c r="O73" s="10">
        <f>+'Masse salariale'!S10</f>
        <v>0</v>
      </c>
      <c r="P73" s="10">
        <f>+'Masse salariale'!T10</f>
        <v>0</v>
      </c>
      <c r="Q73" s="10">
        <f>+'Masse salariale'!U10</f>
        <v>3606.7708333333335</v>
      </c>
      <c r="R73" s="10">
        <f>+'Masse salariale'!V10</f>
        <v>3606.7708333333335</v>
      </c>
      <c r="S73" s="10">
        <f>+'Masse salariale'!W10</f>
        <v>3606.7708333333335</v>
      </c>
      <c r="T73" s="10">
        <f>+'Masse salariale'!X10</f>
        <v>3606.7708333333335</v>
      </c>
      <c r="U73" s="10">
        <f>+'Masse salariale'!Y10</f>
        <v>3606.7708333333335</v>
      </c>
      <c r="V73" s="10">
        <f>+'Masse salariale'!Z10</f>
        <v>3606.7708333333335</v>
      </c>
      <c r="W73" s="10">
        <f>+'Masse salariale'!AA10</f>
        <v>3606.7708333333335</v>
      </c>
      <c r="X73" s="10">
        <f>+'Masse salariale'!AB10</f>
        <v>3606.7708333333335</v>
      </c>
      <c r="Y73" s="10">
        <f>+'Masse salariale'!AC10</f>
        <v>3606.7708333333335</v>
      </c>
      <c r="Z73" s="10">
        <f>+'Masse salariale'!AD10</f>
        <v>3714.9739583333335</v>
      </c>
      <c r="AA73" s="10">
        <f>+'Masse salariale'!AE10</f>
        <v>3714.9739583333335</v>
      </c>
      <c r="AB73" s="10">
        <f>+'Masse salariale'!AF10</f>
        <v>3714.9739583333335</v>
      </c>
      <c r="AC73" s="10">
        <f>+'Masse salariale'!AG10</f>
        <v>3714.9739583333335</v>
      </c>
      <c r="AD73" s="10">
        <f>+'Masse salariale'!AH10</f>
        <v>3714.9739583333335</v>
      </c>
      <c r="AE73" s="10">
        <f>+'Masse salariale'!AI10</f>
        <v>3714.9739583333335</v>
      </c>
      <c r="AF73" s="10">
        <f>+'Masse salariale'!AJ10</f>
        <v>3714.9739583333335</v>
      </c>
      <c r="AG73" s="10">
        <f>+'Masse salariale'!AK10</f>
        <v>3714.9739583333335</v>
      </c>
      <c r="AH73" s="10">
        <f>+'Masse salariale'!AL10</f>
        <v>3714.9739583333335</v>
      </c>
      <c r="AI73" s="10">
        <f>+'Masse salariale'!AM10</f>
        <v>3714.9739583333335</v>
      </c>
      <c r="AJ73" s="10">
        <f>+'Masse salariale'!AN10</f>
        <v>3714.9739583333335</v>
      </c>
      <c r="AK73" s="10">
        <f>+'Masse salariale'!AO10</f>
        <v>3714.9739583333335</v>
      </c>
      <c r="AL73" s="10">
        <f>+'Masse salariale'!AP10</f>
        <v>3826.4231770833335</v>
      </c>
      <c r="AM73" s="10">
        <f>+'Masse salariale'!AQ10</f>
        <v>3941.2158723958337</v>
      </c>
      <c r="AN73" s="10">
        <f>+'Masse salariale'!AR10</f>
        <v>4059.4523485677087</v>
      </c>
      <c r="AO73" s="10">
        <f>+'Masse salariale'!AS10</f>
        <v>4181.2359190247398</v>
      </c>
      <c r="AP73" s="10">
        <f>+'Masse salariale'!AT10</f>
        <v>4306.6729965954819</v>
      </c>
      <c r="AQ73" s="10">
        <f>+'Masse salariale'!AU10</f>
        <v>4435.8731864933461</v>
      </c>
      <c r="AR73" s="10">
        <f>+'Masse salariale'!AV10</f>
        <v>4568.9493820881462</v>
      </c>
      <c r="AS73" s="10">
        <f>+'Masse salariale'!AW10</f>
        <v>4706.0178635507909</v>
      </c>
      <c r="AT73" s="10">
        <f>+'Masse salariale'!AX10</f>
        <v>4847.1983994573147</v>
      </c>
      <c r="AU73" s="10">
        <f>+'Masse salariale'!AY10</f>
        <v>4992.6143514410342</v>
      </c>
      <c r="AV73" s="10">
        <f>+'Masse salariale'!AZ10</f>
        <v>5142.3927819842656</v>
      </c>
      <c r="AW73" s="10">
        <f>+'Masse salariale'!BA10</f>
        <v>5296.6645654437934</v>
      </c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</row>
    <row r="74" spans="1:61" ht="14.75" customHeight="1" outlineLevel="1" x14ac:dyDescent="0.45">
      <c r="A74" s="41" t="s">
        <v>128</v>
      </c>
      <c r="B74" s="14"/>
      <c r="C74" s="14"/>
      <c r="D74" s="14"/>
      <c r="E74" s="10">
        <f>+'Masse salariale'!I11</f>
        <v>0</v>
      </c>
      <c r="F74" s="10">
        <f>+'Masse salariale'!J11</f>
        <v>0</v>
      </c>
      <c r="G74" s="10">
        <f>+'Masse salariale'!K11</f>
        <v>0</v>
      </c>
      <c r="H74" s="10">
        <f>+'Masse salariale'!L11</f>
        <v>0</v>
      </c>
      <c r="I74" s="10">
        <f>+'Masse salariale'!M11</f>
        <v>0</v>
      </c>
      <c r="J74" s="10">
        <f>+'Masse salariale'!N11</f>
        <v>0</v>
      </c>
      <c r="K74" s="10">
        <f>+'Masse salariale'!O11</f>
        <v>0</v>
      </c>
      <c r="L74" s="10">
        <f>+'Masse salariale'!P11</f>
        <v>0</v>
      </c>
      <c r="M74" s="10">
        <f>+'Masse salariale'!Q11</f>
        <v>0</v>
      </c>
      <c r="N74" s="10">
        <f>+'Masse salariale'!R11</f>
        <v>0</v>
      </c>
      <c r="O74" s="10">
        <f>+'Masse salariale'!S11</f>
        <v>0</v>
      </c>
      <c r="P74" s="10">
        <f>+'Masse salariale'!T11</f>
        <v>0</v>
      </c>
      <c r="Q74" s="10">
        <f>+'Masse salariale'!U11</f>
        <v>3606.7708333333335</v>
      </c>
      <c r="R74" s="10">
        <f>+'Masse salariale'!V11</f>
        <v>3606.7708333333335</v>
      </c>
      <c r="S74" s="10">
        <f>+'Masse salariale'!W11</f>
        <v>3606.7708333333335</v>
      </c>
      <c r="T74" s="10">
        <f>+'Masse salariale'!X11</f>
        <v>3606.7708333333335</v>
      </c>
      <c r="U74" s="10">
        <f>+'Masse salariale'!Y11</f>
        <v>3606.7708333333335</v>
      </c>
      <c r="V74" s="10">
        <f>+'Masse salariale'!Z11</f>
        <v>3606.7708333333335</v>
      </c>
      <c r="W74" s="10">
        <f>+'Masse salariale'!AA11</f>
        <v>3606.7708333333335</v>
      </c>
      <c r="X74" s="10">
        <f>+'Masse salariale'!AB11</f>
        <v>3606.7708333333335</v>
      </c>
      <c r="Y74" s="10">
        <f>+'Masse salariale'!AC11</f>
        <v>3606.7708333333335</v>
      </c>
      <c r="Z74" s="10">
        <f>+'Masse salariale'!AD11</f>
        <v>3714.9739583333335</v>
      </c>
      <c r="AA74" s="10">
        <f>+'Masse salariale'!AE11</f>
        <v>3714.9739583333335</v>
      </c>
      <c r="AB74" s="10">
        <f>+'Masse salariale'!AF11</f>
        <v>3714.9739583333335</v>
      </c>
      <c r="AC74" s="10">
        <f>+'Masse salariale'!AG11</f>
        <v>3714.9739583333335</v>
      </c>
      <c r="AD74" s="10">
        <f>+'Masse salariale'!AH11</f>
        <v>3714.9739583333335</v>
      </c>
      <c r="AE74" s="10">
        <f>+'Masse salariale'!AI11</f>
        <v>3714.9739583333335</v>
      </c>
      <c r="AF74" s="10">
        <f>+'Masse salariale'!AJ11</f>
        <v>3714.9739583333335</v>
      </c>
      <c r="AG74" s="10">
        <f>+'Masse salariale'!AK11</f>
        <v>3714.9739583333335</v>
      </c>
      <c r="AH74" s="10">
        <f>+'Masse salariale'!AL11</f>
        <v>3714.9739583333335</v>
      </c>
      <c r="AI74" s="10">
        <f>+'Masse salariale'!AM11</f>
        <v>3714.9739583333335</v>
      </c>
      <c r="AJ74" s="10">
        <f>+'Masse salariale'!AN11</f>
        <v>3714.9739583333335</v>
      </c>
      <c r="AK74" s="10">
        <f>+'Masse salariale'!AO11</f>
        <v>3714.9739583333335</v>
      </c>
      <c r="AL74" s="10">
        <f>+'Masse salariale'!AP11</f>
        <v>3826.4231770833335</v>
      </c>
      <c r="AM74" s="10">
        <f>+'Masse salariale'!AQ11</f>
        <v>3941.2158723958337</v>
      </c>
      <c r="AN74" s="10">
        <f>+'Masse salariale'!AR11</f>
        <v>4059.4523485677087</v>
      </c>
      <c r="AO74" s="10">
        <f>+'Masse salariale'!AS11</f>
        <v>4181.2359190247398</v>
      </c>
      <c r="AP74" s="10">
        <f>+'Masse salariale'!AT11</f>
        <v>4306.6729965954819</v>
      </c>
      <c r="AQ74" s="10">
        <f>+'Masse salariale'!AU11</f>
        <v>4435.8731864933461</v>
      </c>
      <c r="AR74" s="10">
        <f>+'Masse salariale'!AV11</f>
        <v>4568.9493820881462</v>
      </c>
      <c r="AS74" s="10">
        <f>+'Masse salariale'!AW11</f>
        <v>4706.0178635507909</v>
      </c>
      <c r="AT74" s="10">
        <f>+'Masse salariale'!AX11</f>
        <v>4847.1983994573147</v>
      </c>
      <c r="AU74" s="10">
        <f>+'Masse salariale'!AY11</f>
        <v>4992.6143514410342</v>
      </c>
      <c r="AV74" s="10">
        <f>+'Masse salariale'!AZ11</f>
        <v>5142.3927819842656</v>
      </c>
      <c r="AW74" s="10">
        <f>+'Masse salariale'!BA11</f>
        <v>5296.6645654437934</v>
      </c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</row>
    <row r="75" spans="1:61" ht="18" customHeight="1" outlineLevel="1" x14ac:dyDescent="0.45">
      <c r="A75" s="41" t="s">
        <v>135</v>
      </c>
      <c r="B75" s="14"/>
      <c r="C75" s="14"/>
      <c r="D75" s="14"/>
      <c r="E75" s="10">
        <f>+'Masse salariale'!I12</f>
        <v>0</v>
      </c>
      <c r="F75" s="10">
        <f>+'Masse salariale'!J12</f>
        <v>0</v>
      </c>
      <c r="G75" s="10">
        <f>+'Masse salariale'!K12</f>
        <v>0</v>
      </c>
      <c r="H75" s="10">
        <f>+'Masse salariale'!L12</f>
        <v>0</v>
      </c>
      <c r="I75" s="10">
        <f>+'Masse salariale'!M12</f>
        <v>0</v>
      </c>
      <c r="J75" s="10">
        <f>+'Masse salariale'!N12</f>
        <v>0</v>
      </c>
      <c r="K75" s="10">
        <f>+'Masse salariale'!O12</f>
        <v>0</v>
      </c>
      <c r="L75" s="10">
        <f>+'Masse salariale'!P12</f>
        <v>0</v>
      </c>
      <c r="M75" s="10">
        <f>+'Masse salariale'!Q12</f>
        <v>0</v>
      </c>
      <c r="N75" s="10">
        <f>+'Masse salariale'!R12</f>
        <v>0</v>
      </c>
      <c r="O75" s="10">
        <f>+'Masse salariale'!S12</f>
        <v>0</v>
      </c>
      <c r="P75" s="10">
        <f>+'Masse salariale'!T12</f>
        <v>0</v>
      </c>
      <c r="Q75" s="10">
        <f>+'Masse salariale'!U12</f>
        <v>0</v>
      </c>
      <c r="R75" s="10">
        <f>+'Masse salariale'!V12</f>
        <v>0</v>
      </c>
      <c r="S75" s="10">
        <f>+'Masse salariale'!W12</f>
        <v>0</v>
      </c>
      <c r="T75" s="10">
        <f>+'Masse salariale'!X12</f>
        <v>0</v>
      </c>
      <c r="U75" s="10">
        <f>+'Masse salariale'!Y12</f>
        <v>0</v>
      </c>
      <c r="V75" s="10">
        <f>+'Masse salariale'!Z12</f>
        <v>3606.7708333333335</v>
      </c>
      <c r="W75" s="10">
        <f>+'Masse salariale'!AA12</f>
        <v>3606.7708333333335</v>
      </c>
      <c r="X75" s="10">
        <f>+'Masse salariale'!AB12</f>
        <v>3606.7708333333335</v>
      </c>
      <c r="Y75" s="10">
        <f>+'Masse salariale'!AC12</f>
        <v>3606.7708333333335</v>
      </c>
      <c r="Z75" s="10">
        <f>+'Masse salariale'!AD12</f>
        <v>3714.9739583333335</v>
      </c>
      <c r="AA75" s="10">
        <f>+'Masse salariale'!AE12</f>
        <v>3714.9739583333335</v>
      </c>
      <c r="AB75" s="10">
        <f>+'Masse salariale'!AF12</f>
        <v>3714.9739583333335</v>
      </c>
      <c r="AC75" s="10">
        <f>+'Masse salariale'!AG12</f>
        <v>3714.9739583333335</v>
      </c>
      <c r="AD75" s="10">
        <f>+'Masse salariale'!AH12</f>
        <v>3714.9739583333335</v>
      </c>
      <c r="AE75" s="10">
        <f>+'Masse salariale'!AI12</f>
        <v>3714.9739583333335</v>
      </c>
      <c r="AF75" s="10">
        <f>+'Masse salariale'!AJ12</f>
        <v>3714.9739583333335</v>
      </c>
      <c r="AG75" s="10">
        <f>+'Masse salariale'!AK12</f>
        <v>3714.9739583333335</v>
      </c>
      <c r="AH75" s="10">
        <f>+'Masse salariale'!AL12</f>
        <v>3714.9739583333335</v>
      </c>
      <c r="AI75" s="10">
        <f>+'Masse salariale'!AM12</f>
        <v>3714.9739583333335</v>
      </c>
      <c r="AJ75" s="10">
        <f>+'Masse salariale'!AN12</f>
        <v>3714.9739583333335</v>
      </c>
      <c r="AK75" s="10">
        <f>+'Masse salariale'!AO12</f>
        <v>3714.9739583333335</v>
      </c>
      <c r="AL75" s="10">
        <f>+'Masse salariale'!AP12</f>
        <v>3826.4231770833335</v>
      </c>
      <c r="AM75" s="10">
        <f>+'Masse salariale'!AQ12</f>
        <v>3941.2158723958337</v>
      </c>
      <c r="AN75" s="10">
        <f>+'Masse salariale'!AR12</f>
        <v>4059.4523485677087</v>
      </c>
      <c r="AO75" s="10">
        <f>+'Masse salariale'!AS12</f>
        <v>4181.2359190247398</v>
      </c>
      <c r="AP75" s="10">
        <f>+'Masse salariale'!AT12</f>
        <v>4306.6729965954819</v>
      </c>
      <c r="AQ75" s="10">
        <f>+'Masse salariale'!AU12</f>
        <v>4435.8731864933461</v>
      </c>
      <c r="AR75" s="10">
        <f>+'Masse salariale'!AV12</f>
        <v>4568.9493820881462</v>
      </c>
      <c r="AS75" s="10">
        <f>+'Masse salariale'!AW12</f>
        <v>4706.0178635507909</v>
      </c>
      <c r="AT75" s="10">
        <f>+'Masse salariale'!AX12</f>
        <v>4847.1983994573147</v>
      </c>
      <c r="AU75" s="10">
        <f>+'Masse salariale'!AY12</f>
        <v>4992.6143514410342</v>
      </c>
      <c r="AV75" s="10">
        <f>+'Masse salariale'!AZ12</f>
        <v>5142.3927819842656</v>
      </c>
      <c r="AW75" s="10">
        <f>+'Masse salariale'!BA12</f>
        <v>5296.6645654437934</v>
      </c>
      <c r="AX75" s="10">
        <f>+'Masse salariale'!BB12</f>
        <v>3606.7708333333335</v>
      </c>
      <c r="AY75" s="10">
        <f>+'Masse salariale'!BC12</f>
        <v>3606.7708333333335</v>
      </c>
      <c r="AZ75" s="10">
        <f>+'Masse salariale'!BD12</f>
        <v>0</v>
      </c>
      <c r="BA75" s="10">
        <f>+'Masse salariale'!BE12</f>
        <v>0</v>
      </c>
      <c r="BB75" s="10">
        <f>+'Masse salariale'!BF12</f>
        <v>0</v>
      </c>
      <c r="BC75" s="10">
        <f>+'Masse salariale'!BG12</f>
        <v>0</v>
      </c>
      <c r="BD75" s="10">
        <f>+'Masse salariale'!BH12</f>
        <v>0</v>
      </c>
      <c r="BE75" s="10">
        <f>+'Masse salariale'!BI12</f>
        <v>0</v>
      </c>
      <c r="BF75" s="10">
        <f>+'Masse salariale'!BJ12</f>
        <v>0</v>
      </c>
      <c r="BG75" s="10">
        <f>+'Masse salariale'!BK12</f>
        <v>0</v>
      </c>
      <c r="BH75" s="10">
        <f>+'Masse salariale'!BL12</f>
        <v>0</v>
      </c>
      <c r="BI75" s="10">
        <f>+'Masse salariale'!BM12</f>
        <v>0</v>
      </c>
    </row>
    <row r="76" spans="1:61" hidden="1" outlineLevel="1" x14ac:dyDescent="0.45">
      <c r="B76" s="14"/>
      <c r="C76" s="14"/>
      <c r="D76" s="14"/>
      <c r="E76" s="10">
        <f>+'Masse salariale'!I13</f>
        <v>0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77"/>
      <c r="AJ76" s="77"/>
      <c r="AK76" s="77"/>
      <c r="AL76" s="77"/>
      <c r="AM76" s="77"/>
      <c r="AN76" s="77"/>
      <c r="AO76" s="77"/>
      <c r="AP76" s="77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</row>
    <row r="77" spans="1:61" hidden="1" outlineLevel="1" x14ac:dyDescent="0.45">
      <c r="B77" s="14"/>
      <c r="C77" s="14"/>
      <c r="D77" s="14"/>
      <c r="E77" s="10">
        <f>+'Masse salariale'!I14</f>
        <v>0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77"/>
      <c r="AJ77" s="77"/>
      <c r="AK77" s="77"/>
      <c r="AL77" s="77"/>
      <c r="AM77" s="77"/>
      <c r="AN77" s="77"/>
      <c r="AO77" s="77"/>
      <c r="AP77" s="77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</row>
    <row r="78" spans="1:61" hidden="1" outlineLevel="1" x14ac:dyDescent="0.45">
      <c r="B78" s="14"/>
      <c r="C78" s="14"/>
      <c r="D78" s="14"/>
      <c r="E78" s="10">
        <f>+'Masse salariale'!I15</f>
        <v>0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77"/>
      <c r="AJ78" s="77"/>
      <c r="AK78" s="77"/>
      <c r="AL78" s="77"/>
      <c r="AM78" s="77"/>
      <c r="AN78" s="77"/>
      <c r="AO78" s="77"/>
      <c r="AP78" s="77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</row>
    <row r="79" spans="1:61" hidden="1" outlineLevel="1" x14ac:dyDescent="0.45">
      <c r="B79" s="14"/>
      <c r="C79" s="14"/>
      <c r="D79" s="14"/>
      <c r="E79" s="10">
        <f>+'Masse salariale'!I16</f>
        <v>0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77"/>
      <c r="AJ79" s="77"/>
      <c r="AK79" s="77"/>
      <c r="AL79" s="77"/>
      <c r="AM79" s="77"/>
      <c r="AN79" s="77"/>
      <c r="AO79" s="77"/>
      <c r="AP79" s="77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</row>
    <row r="80" spans="1:61" hidden="1" outlineLevel="1" x14ac:dyDescent="0.45">
      <c r="B80" s="14"/>
      <c r="C80" s="14"/>
      <c r="D80" s="14"/>
      <c r="E80" s="10">
        <f>+'Masse salariale'!I17</f>
        <v>0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77"/>
      <c r="AJ80" s="77"/>
      <c r="AK80" s="77"/>
      <c r="AL80" s="77"/>
      <c r="AM80" s="77"/>
      <c r="AN80" s="77"/>
      <c r="AO80" s="77"/>
      <c r="AP80" s="77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</row>
    <row r="81" spans="1:61" hidden="1" outlineLevel="1" x14ac:dyDescent="0.45">
      <c r="B81" s="14"/>
      <c r="C81" s="14"/>
      <c r="D81" s="14"/>
      <c r="E81" s="10">
        <f>+'Masse salariale'!I18</f>
        <v>0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77"/>
      <c r="AJ81" s="77"/>
      <c r="AK81" s="77"/>
      <c r="AL81" s="77"/>
      <c r="AM81" s="77"/>
      <c r="AN81" s="77"/>
      <c r="AO81" s="77"/>
      <c r="AP81" s="77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</row>
    <row r="82" spans="1:61" hidden="1" outlineLevel="1" x14ac:dyDescent="0.45">
      <c r="B82" s="14"/>
      <c r="C82" s="14"/>
      <c r="D82" s="14"/>
      <c r="E82" s="10">
        <f>+'Masse salariale'!I19</f>
        <v>0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77"/>
      <c r="AJ82" s="77"/>
      <c r="AK82" s="77"/>
      <c r="AL82" s="77"/>
      <c r="AM82" s="77"/>
      <c r="AN82" s="77"/>
      <c r="AO82" s="77"/>
      <c r="AP82" s="77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</row>
    <row r="83" spans="1:61" hidden="1" outlineLevel="1" x14ac:dyDescent="0.45">
      <c r="B83" s="14"/>
      <c r="C83" s="14"/>
      <c r="D83" s="14"/>
      <c r="E83" s="10">
        <f>+'Masse salariale'!I20</f>
        <v>0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77"/>
      <c r="AJ83" s="77"/>
      <c r="AK83" s="77"/>
      <c r="AL83" s="77"/>
      <c r="AM83" s="77"/>
      <c r="AN83" s="77"/>
      <c r="AO83" s="77"/>
      <c r="AP83" s="77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</row>
    <row r="84" spans="1:61" hidden="1" outlineLevel="1" x14ac:dyDescent="0.45">
      <c r="A84" s="21"/>
      <c r="B84" s="14"/>
      <c r="C84" s="14"/>
      <c r="D84" s="14"/>
      <c r="E84" s="10">
        <f>+'Masse salariale'!I21</f>
        <v>0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77"/>
      <c r="AJ84" s="77"/>
      <c r="AK84" s="77"/>
      <c r="AL84" s="77"/>
      <c r="AM84" s="77"/>
      <c r="AN84" s="77"/>
      <c r="AO84" s="77"/>
      <c r="AP84" s="77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</row>
    <row r="85" spans="1:61" hidden="1" outlineLevel="1" x14ac:dyDescent="0.45">
      <c r="B85" s="14"/>
      <c r="C85" s="14"/>
      <c r="D85" s="14"/>
      <c r="E85" s="10">
        <f>+'Masse salariale'!I22</f>
        <v>0</v>
      </c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77"/>
      <c r="AJ85" s="77"/>
      <c r="AK85" s="77"/>
      <c r="AL85" s="77"/>
      <c r="AM85" s="77"/>
      <c r="AN85" s="77"/>
      <c r="AO85" s="77"/>
      <c r="AP85" s="77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</row>
    <row r="86" spans="1:61" hidden="1" outlineLevel="1" x14ac:dyDescent="0.45">
      <c r="A86" s="21"/>
      <c r="B86" s="14"/>
      <c r="C86" s="14"/>
      <c r="D86" s="14"/>
      <c r="E86" s="10">
        <f>+'Masse salariale'!I23</f>
        <v>0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77"/>
      <c r="AJ86" s="77"/>
      <c r="AK86" s="77"/>
      <c r="AL86" s="77"/>
      <c r="AM86" s="77"/>
      <c r="AN86" s="77"/>
      <c r="AO86" s="77"/>
      <c r="AP86" s="77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</row>
    <row r="87" spans="1:61" hidden="1" outlineLevel="1" x14ac:dyDescent="0.45">
      <c r="B87" s="14"/>
      <c r="C87" s="14"/>
      <c r="D87" s="14"/>
      <c r="E87" s="10">
        <f>+'Masse salariale'!I24</f>
        <v>0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77"/>
      <c r="AJ87" s="77"/>
      <c r="AK87" s="77"/>
      <c r="AL87" s="77"/>
      <c r="AM87" s="77"/>
      <c r="AN87" s="77"/>
      <c r="AO87" s="77"/>
      <c r="AP87" s="77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</row>
    <row r="88" spans="1:61" outlineLevel="1" x14ac:dyDescent="0.45">
      <c r="A88" s="41" t="s">
        <v>137</v>
      </c>
      <c r="B88" s="14"/>
      <c r="C88" s="14"/>
      <c r="D88" s="14"/>
      <c r="E88" s="10">
        <f>+'Masse salariale'!I13</f>
        <v>0</v>
      </c>
      <c r="F88" s="10">
        <f>+'Masse salariale'!J13</f>
        <v>0</v>
      </c>
      <c r="G88" s="10">
        <f>+'Masse salariale'!K13</f>
        <v>0</v>
      </c>
      <c r="H88" s="10">
        <f>+'Masse salariale'!L13</f>
        <v>0</v>
      </c>
      <c r="I88" s="10">
        <f>+'Masse salariale'!M13</f>
        <v>0</v>
      </c>
      <c r="J88" s="10">
        <f>+'Masse salariale'!N13</f>
        <v>0</v>
      </c>
      <c r="K88" s="10">
        <f>+'Masse salariale'!O13</f>
        <v>0</v>
      </c>
      <c r="L88" s="10">
        <f>+'Masse salariale'!P13</f>
        <v>0</v>
      </c>
      <c r="M88" s="10">
        <f>+'Masse salariale'!Q13</f>
        <v>0</v>
      </c>
      <c r="N88" s="10">
        <f>+'Masse salariale'!R13</f>
        <v>0</v>
      </c>
      <c r="O88" s="10">
        <f>+'Masse salariale'!S13</f>
        <v>0</v>
      </c>
      <c r="P88" s="10">
        <f>+'Masse salariale'!T13</f>
        <v>0</v>
      </c>
      <c r="Q88" s="10">
        <f>+'Masse salariale'!U13</f>
        <v>0</v>
      </c>
      <c r="R88" s="10">
        <f>+'Masse salariale'!V13</f>
        <v>0</v>
      </c>
      <c r="S88" s="10">
        <f>+'Masse salariale'!W13</f>
        <v>0</v>
      </c>
      <c r="T88" s="10">
        <f>+'Masse salariale'!X13</f>
        <v>0</v>
      </c>
      <c r="U88" s="10">
        <f>+'Masse salariale'!Y13</f>
        <v>0</v>
      </c>
      <c r="V88" s="10">
        <f>+'Masse salariale'!Z13</f>
        <v>0</v>
      </c>
      <c r="W88" s="10">
        <f>+'Masse salariale'!AA13</f>
        <v>0</v>
      </c>
      <c r="X88" s="10">
        <f>+'Masse salariale'!AB13</f>
        <v>0</v>
      </c>
      <c r="Y88" s="10">
        <f>+'Masse salariale'!AC13</f>
        <v>0</v>
      </c>
      <c r="Z88" s="10">
        <f>+'Masse salariale'!AD13</f>
        <v>3714.9739583333335</v>
      </c>
      <c r="AA88" s="10">
        <f>+'Masse salariale'!AE13</f>
        <v>3714.9739583333335</v>
      </c>
      <c r="AB88" s="10">
        <f>+'Masse salariale'!AF13</f>
        <v>3714.9739583333335</v>
      </c>
      <c r="AC88" s="10">
        <f>+'Masse salariale'!AG13</f>
        <v>3714.9739583333335</v>
      </c>
      <c r="AD88" s="10">
        <f>+'Masse salariale'!AH13</f>
        <v>3714.9739583333335</v>
      </c>
      <c r="AE88" s="10">
        <f>+'Masse salariale'!AI13</f>
        <v>3714.9739583333335</v>
      </c>
      <c r="AF88" s="10">
        <f>+'Masse salariale'!AJ13</f>
        <v>3714.9739583333335</v>
      </c>
      <c r="AG88" s="10">
        <f>+'Masse salariale'!AK13</f>
        <v>3714.9739583333335</v>
      </c>
      <c r="AH88" s="10">
        <f>+'Masse salariale'!AL13</f>
        <v>3714.9739583333335</v>
      </c>
      <c r="AI88" s="10">
        <f>+'Masse salariale'!AM13</f>
        <v>3714.9739583333335</v>
      </c>
      <c r="AJ88" s="10">
        <f>+'Masse salariale'!AN13</f>
        <v>3714.9739583333335</v>
      </c>
      <c r="AK88" s="10">
        <f>+'Masse salariale'!AO13</f>
        <v>3714.9739583333335</v>
      </c>
      <c r="AL88" s="10">
        <f>+'Masse salariale'!AP13</f>
        <v>3826.4231770833335</v>
      </c>
      <c r="AM88" s="10">
        <f>+'Masse salariale'!AQ13</f>
        <v>3941.2158723958337</v>
      </c>
      <c r="AN88" s="10">
        <f>+'Masse salariale'!AR13</f>
        <v>4059.4523485677087</v>
      </c>
      <c r="AO88" s="10">
        <f>+'Masse salariale'!AS13</f>
        <v>4181.2359190247398</v>
      </c>
      <c r="AP88" s="10">
        <f>+'Masse salariale'!AT13</f>
        <v>4306.6729965954819</v>
      </c>
      <c r="AQ88" s="10">
        <f>+'Masse salariale'!AU13</f>
        <v>4435.8731864933461</v>
      </c>
      <c r="AR88" s="10">
        <f>+'Masse salariale'!AV13</f>
        <v>4568.9493820881462</v>
      </c>
      <c r="AS88" s="10">
        <f>+'Masse salariale'!AW13</f>
        <v>4706.0178635507909</v>
      </c>
      <c r="AT88" s="10">
        <f>+'Masse salariale'!AX13</f>
        <v>4847.1983994573147</v>
      </c>
      <c r="AU88" s="10">
        <f>+'Masse salariale'!AY13</f>
        <v>4992.6143514410342</v>
      </c>
      <c r="AV88" s="10">
        <f>+'Masse salariale'!AZ13</f>
        <v>5142.3927819842656</v>
      </c>
      <c r="AW88" s="10">
        <f>+'Masse salariale'!BA13</f>
        <v>5296.6645654437934</v>
      </c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</row>
    <row r="89" spans="1:61" outlineLevel="1" x14ac:dyDescent="0.4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77"/>
      <c r="AJ89" s="77"/>
      <c r="AK89" s="77"/>
      <c r="AL89" s="77"/>
      <c r="AM89" s="77"/>
      <c r="AN89" s="77"/>
      <c r="AO89" s="77"/>
      <c r="AP89" s="77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</row>
    <row r="90" spans="1:61" x14ac:dyDescent="0.4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77"/>
      <c r="AJ90" s="77"/>
      <c r="AK90" s="77"/>
      <c r="AL90" s="77"/>
      <c r="AM90" s="77"/>
      <c r="AN90" s="78"/>
      <c r="AO90" s="77"/>
      <c r="AP90" s="77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</row>
    <row r="92" spans="1:61" ht="19.5" x14ac:dyDescent="0.6">
      <c r="A92" s="12" t="s">
        <v>41</v>
      </c>
      <c r="B92" s="9">
        <f t="shared" ref="B92:AG92" si="19">SUM(B93:B100)</f>
        <v>0</v>
      </c>
      <c r="C92" s="9">
        <f t="shared" si="19"/>
        <v>0</v>
      </c>
      <c r="D92" s="9">
        <f t="shared" si="19"/>
        <v>0</v>
      </c>
      <c r="E92" s="9">
        <f t="shared" si="19"/>
        <v>0</v>
      </c>
      <c r="F92" s="9">
        <f t="shared" si="19"/>
        <v>0</v>
      </c>
      <c r="G92" s="9">
        <f t="shared" si="19"/>
        <v>750</v>
      </c>
      <c r="H92" s="9">
        <f t="shared" si="19"/>
        <v>2065</v>
      </c>
      <c r="I92" s="9">
        <f t="shared" si="19"/>
        <v>3490</v>
      </c>
      <c r="J92" s="9">
        <f t="shared" si="19"/>
        <v>0</v>
      </c>
      <c r="K92" s="9">
        <f t="shared" si="19"/>
        <v>0</v>
      </c>
      <c r="L92" s="9">
        <f t="shared" si="19"/>
        <v>5000</v>
      </c>
      <c r="M92" s="9">
        <f t="shared" si="19"/>
        <v>7000</v>
      </c>
      <c r="N92" s="9">
        <f t="shared" si="19"/>
        <v>2000</v>
      </c>
      <c r="O92" s="9">
        <f t="shared" si="19"/>
        <v>2000</v>
      </c>
      <c r="P92" s="9">
        <f t="shared" si="19"/>
        <v>45000</v>
      </c>
      <c r="Q92" s="9">
        <f t="shared" si="19"/>
        <v>42000</v>
      </c>
      <c r="R92" s="9">
        <f t="shared" si="19"/>
        <v>2000</v>
      </c>
      <c r="S92" s="9">
        <f t="shared" si="19"/>
        <v>2000</v>
      </c>
      <c r="T92" s="9">
        <f t="shared" si="19"/>
        <v>2000</v>
      </c>
      <c r="U92" s="9">
        <f t="shared" si="19"/>
        <v>2000</v>
      </c>
      <c r="V92" s="9">
        <f t="shared" si="19"/>
        <v>12000</v>
      </c>
      <c r="W92" s="9">
        <f t="shared" si="19"/>
        <v>2000</v>
      </c>
      <c r="X92" s="9">
        <f t="shared" si="19"/>
        <v>2000</v>
      </c>
      <c r="Y92" s="9">
        <f t="shared" si="19"/>
        <v>2000</v>
      </c>
      <c r="Z92" s="9">
        <f t="shared" si="19"/>
        <v>2000</v>
      </c>
      <c r="AA92" s="9">
        <f t="shared" si="19"/>
        <v>2000</v>
      </c>
      <c r="AB92" s="9">
        <f t="shared" si="19"/>
        <v>2000</v>
      </c>
      <c r="AC92" s="9">
        <f t="shared" si="19"/>
        <v>2000</v>
      </c>
      <c r="AD92" s="9">
        <f t="shared" si="19"/>
        <v>2000</v>
      </c>
      <c r="AE92" s="9">
        <f t="shared" si="19"/>
        <v>2000</v>
      </c>
      <c r="AF92" s="9">
        <f t="shared" si="19"/>
        <v>2000</v>
      </c>
      <c r="AG92" s="9">
        <f t="shared" si="19"/>
        <v>2000</v>
      </c>
      <c r="AH92" s="9">
        <f t="shared" ref="AH92:BI92" si="20">SUM(AH93:AH100)</f>
        <v>2000</v>
      </c>
      <c r="AI92" s="9">
        <f t="shared" si="20"/>
        <v>2000</v>
      </c>
      <c r="AJ92" s="9">
        <f t="shared" si="20"/>
        <v>2000</v>
      </c>
      <c r="AK92" s="9">
        <f t="shared" si="20"/>
        <v>2000</v>
      </c>
      <c r="AL92" s="9">
        <f t="shared" si="20"/>
        <v>2000</v>
      </c>
      <c r="AM92" s="9">
        <f t="shared" si="20"/>
        <v>2000</v>
      </c>
      <c r="AN92" s="9">
        <f t="shared" si="20"/>
        <v>2000</v>
      </c>
      <c r="AO92" s="9">
        <f t="shared" si="20"/>
        <v>2000</v>
      </c>
      <c r="AP92" s="9">
        <f t="shared" si="20"/>
        <v>2000</v>
      </c>
      <c r="AQ92" s="9">
        <f t="shared" si="20"/>
        <v>2000</v>
      </c>
      <c r="AR92" s="9">
        <f t="shared" si="20"/>
        <v>2000</v>
      </c>
      <c r="AS92" s="9">
        <f t="shared" si="20"/>
        <v>2000</v>
      </c>
      <c r="AT92" s="9">
        <f t="shared" si="20"/>
        <v>2000</v>
      </c>
      <c r="AU92" s="9">
        <f t="shared" si="20"/>
        <v>2000</v>
      </c>
      <c r="AV92" s="9">
        <f t="shared" si="20"/>
        <v>2000</v>
      </c>
      <c r="AW92" s="9">
        <f t="shared" si="20"/>
        <v>2000</v>
      </c>
      <c r="AX92" s="9" t="e">
        <f t="shared" si="20"/>
        <v>#REF!</v>
      </c>
      <c r="AY92" s="9" t="e">
        <f t="shared" si="20"/>
        <v>#REF!</v>
      </c>
      <c r="AZ92" s="9" t="e">
        <f t="shared" si="20"/>
        <v>#REF!</v>
      </c>
      <c r="BA92" s="9" t="e">
        <f t="shared" si="20"/>
        <v>#REF!</v>
      </c>
      <c r="BB92" s="9" t="e">
        <f t="shared" si="20"/>
        <v>#REF!</v>
      </c>
      <c r="BC92" s="9" t="e">
        <f t="shared" si="20"/>
        <v>#REF!</v>
      </c>
      <c r="BD92" s="9" t="e">
        <f t="shared" si="20"/>
        <v>#REF!</v>
      </c>
      <c r="BE92" s="9" t="e">
        <f t="shared" si="20"/>
        <v>#REF!</v>
      </c>
      <c r="BF92" s="9" t="e">
        <f t="shared" si="20"/>
        <v>#REF!</v>
      </c>
      <c r="BG92" s="9" t="e">
        <f t="shared" si="20"/>
        <v>#REF!</v>
      </c>
      <c r="BH92" s="9" t="e">
        <f t="shared" si="20"/>
        <v>#REF!</v>
      </c>
      <c r="BI92" s="9" t="e">
        <f t="shared" si="20"/>
        <v>#REF!</v>
      </c>
    </row>
    <row r="93" spans="1:61" ht="19.5" x14ac:dyDescent="0.6">
      <c r="A93" s="22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</row>
    <row r="94" spans="1:61" ht="18" customHeight="1" x14ac:dyDescent="0.45">
      <c r="A94" s="40" t="s">
        <v>162</v>
      </c>
      <c r="B94" s="14"/>
      <c r="C94" s="14"/>
      <c r="D94" s="14"/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/>
      <c r="L94" s="14">
        <v>5000</v>
      </c>
      <c r="M94" s="14">
        <v>5000</v>
      </c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5"/>
    </row>
    <row r="95" spans="1:61" ht="18" customHeight="1" x14ac:dyDescent="0.45">
      <c r="A95" s="40" t="s">
        <v>157</v>
      </c>
      <c r="B95" s="14"/>
      <c r="C95" s="14"/>
      <c r="D95" s="14"/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O95" s="14">
        <v>0</v>
      </c>
      <c r="P95" s="14">
        <v>40000</v>
      </c>
      <c r="Q95" s="14"/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0</v>
      </c>
      <c r="AU95" s="14">
        <v>0</v>
      </c>
      <c r="AV95" s="14">
        <v>0</v>
      </c>
      <c r="AW95" s="14">
        <v>0</v>
      </c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5"/>
    </row>
    <row r="96" spans="1:61" ht="18" customHeight="1" x14ac:dyDescent="0.45">
      <c r="A96" s="40" t="s">
        <v>120</v>
      </c>
      <c r="B96" s="14"/>
      <c r="C96" s="14"/>
      <c r="D96" s="14"/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40000</v>
      </c>
      <c r="R96" s="14">
        <v>0</v>
      </c>
      <c r="S96" s="14">
        <v>0</v>
      </c>
      <c r="T96" s="14">
        <v>0</v>
      </c>
      <c r="U96" s="14">
        <v>0</v>
      </c>
      <c r="V96" s="14">
        <v>10000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5"/>
    </row>
    <row r="97" spans="1:62" ht="18" customHeight="1" x14ac:dyDescent="0.45">
      <c r="A97" s="39" t="s">
        <v>164</v>
      </c>
      <c r="B97" s="14"/>
      <c r="C97" s="14"/>
      <c r="D97" s="14"/>
      <c r="E97" s="14">
        <v>0</v>
      </c>
      <c r="F97" s="14">
        <v>0</v>
      </c>
      <c r="G97" s="14">
        <v>0</v>
      </c>
      <c r="H97" s="14">
        <v>2065</v>
      </c>
      <c r="I97" s="14">
        <v>3490</v>
      </c>
      <c r="J97" s="14"/>
      <c r="K97" s="14"/>
      <c r="L97" s="14"/>
      <c r="M97" s="14">
        <v>2000</v>
      </c>
      <c r="N97" s="14">
        <v>2000</v>
      </c>
      <c r="O97" s="14">
        <v>2000</v>
      </c>
      <c r="P97" s="14">
        <v>2000</v>
      </c>
      <c r="Q97" s="14">
        <v>2000</v>
      </c>
      <c r="R97" s="14">
        <v>2000</v>
      </c>
      <c r="S97" s="14">
        <v>2000</v>
      </c>
      <c r="T97" s="14">
        <v>2000</v>
      </c>
      <c r="U97" s="14">
        <v>2000</v>
      </c>
      <c r="V97" s="14">
        <v>2000</v>
      </c>
      <c r="W97" s="14">
        <v>2000</v>
      </c>
      <c r="X97" s="14">
        <v>2000</v>
      </c>
      <c r="Y97" s="14">
        <v>2000</v>
      </c>
      <c r="Z97" s="14">
        <v>2000</v>
      </c>
      <c r="AA97" s="14">
        <v>2000</v>
      </c>
      <c r="AB97" s="14">
        <v>2000</v>
      </c>
      <c r="AC97" s="14">
        <v>2000</v>
      </c>
      <c r="AD97" s="14">
        <v>2000</v>
      </c>
      <c r="AE97" s="14">
        <v>2000</v>
      </c>
      <c r="AF97" s="14">
        <v>2000</v>
      </c>
      <c r="AG97" s="14">
        <v>2000</v>
      </c>
      <c r="AH97" s="14">
        <v>2000</v>
      </c>
      <c r="AI97" s="14">
        <v>2000</v>
      </c>
      <c r="AJ97" s="14">
        <v>2000</v>
      </c>
      <c r="AK97" s="14">
        <v>2000</v>
      </c>
      <c r="AL97" s="14">
        <v>2000</v>
      </c>
      <c r="AM97" s="14">
        <v>2000</v>
      </c>
      <c r="AN97" s="14">
        <v>2000</v>
      </c>
      <c r="AO97" s="14">
        <v>2000</v>
      </c>
      <c r="AP97" s="14">
        <v>2000</v>
      </c>
      <c r="AQ97" s="14">
        <v>2000</v>
      </c>
      <c r="AR97" s="14">
        <v>2000</v>
      </c>
      <c r="AS97" s="14">
        <v>2000</v>
      </c>
      <c r="AT97" s="14">
        <v>2000</v>
      </c>
      <c r="AU97" s="14">
        <v>2000</v>
      </c>
      <c r="AV97" s="14">
        <v>2000</v>
      </c>
      <c r="AW97" s="14">
        <v>2000</v>
      </c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5"/>
    </row>
    <row r="98" spans="1:62" ht="18" customHeight="1" x14ac:dyDescent="0.45">
      <c r="A98" s="40" t="s">
        <v>25</v>
      </c>
      <c r="B98" s="14"/>
      <c r="C98" s="14"/>
      <c r="D98" s="14"/>
      <c r="E98" s="14">
        <v>0</v>
      </c>
      <c r="F98" s="14">
        <v>0</v>
      </c>
      <c r="G98" s="14">
        <v>750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3000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14" t="e">
        <f>+#REF!</f>
        <v>#REF!</v>
      </c>
      <c r="AY98" s="14" t="e">
        <f>+#REF!</f>
        <v>#REF!</v>
      </c>
      <c r="AZ98" s="14" t="e">
        <f>+#REF!</f>
        <v>#REF!</v>
      </c>
      <c r="BA98" s="14" t="e">
        <f>+#REF!</f>
        <v>#REF!</v>
      </c>
      <c r="BB98" s="14" t="e">
        <f>+#REF!</f>
        <v>#REF!</v>
      </c>
      <c r="BC98" s="14" t="e">
        <f>+#REF!</f>
        <v>#REF!</v>
      </c>
      <c r="BD98" s="14" t="e">
        <f>+#REF!</f>
        <v>#REF!</v>
      </c>
      <c r="BE98" s="14" t="e">
        <f>+#REF!</f>
        <v>#REF!</v>
      </c>
      <c r="BF98" s="14" t="e">
        <f>+#REF!</f>
        <v>#REF!</v>
      </c>
      <c r="BG98" s="14" t="e">
        <f>+#REF!</f>
        <v>#REF!</v>
      </c>
      <c r="BH98" s="14" t="e">
        <f>+#REF!</f>
        <v>#REF!</v>
      </c>
      <c r="BI98" s="14" t="e">
        <f>+#REF!</f>
        <v>#REF!</v>
      </c>
    </row>
    <row r="99" spans="1:62" x14ac:dyDescent="0.45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4"/>
    </row>
    <row r="100" spans="1:62" x14ac:dyDescent="0.45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4"/>
    </row>
    <row r="101" spans="1:62" ht="14.65" thickBot="1" x14ac:dyDescent="0.5"/>
    <row r="102" spans="1:62" s="27" customFormat="1" ht="19.149999999999999" thickBot="1" x14ac:dyDescent="0.55000000000000004">
      <c r="A102" s="25" t="s">
        <v>42</v>
      </c>
      <c r="B102" s="26" t="e">
        <f t="shared" ref="B102:AG102" si="21">+B65-B68-B92</f>
        <v>#REF!</v>
      </c>
      <c r="C102" s="26" t="e">
        <f t="shared" si="21"/>
        <v>#REF!</v>
      </c>
      <c r="D102" s="26" t="e">
        <f t="shared" si="21"/>
        <v>#REF!</v>
      </c>
      <c r="E102" s="26">
        <f t="shared" si="21"/>
        <v>-2516.8000000000002</v>
      </c>
      <c r="F102" s="26">
        <f t="shared" si="21"/>
        <v>-9610</v>
      </c>
      <c r="G102" s="26">
        <f t="shared" si="21"/>
        <v>-64270.377933884294</v>
      </c>
      <c r="H102" s="26">
        <f t="shared" si="21"/>
        <v>-17180.400000000001</v>
      </c>
      <c r="I102" s="26">
        <f t="shared" si="21"/>
        <v>-34886.724999999999</v>
      </c>
      <c r="J102" s="26">
        <f t="shared" si="21"/>
        <v>-11596.73</v>
      </c>
      <c r="K102" s="26">
        <f t="shared" si="21"/>
        <v>-73218.399999999994</v>
      </c>
      <c r="L102" s="26">
        <f t="shared" si="21"/>
        <v>-19918.400000000001</v>
      </c>
      <c r="M102" s="26">
        <f t="shared" si="21"/>
        <v>-146604.17083333334</v>
      </c>
      <c r="N102" s="26">
        <f t="shared" si="21"/>
        <v>-54452.517940771351</v>
      </c>
      <c r="O102" s="26">
        <f t="shared" si="21"/>
        <v>8933.4324724517919</v>
      </c>
      <c r="P102" s="26">
        <f t="shared" si="21"/>
        <v>-29930.617114325069</v>
      </c>
      <c r="Q102" s="26">
        <f t="shared" si="21"/>
        <v>-36608.208367768595</v>
      </c>
      <c r="R102" s="26">
        <f t="shared" si="21"/>
        <v>-20506.555475206602</v>
      </c>
      <c r="S102" s="26">
        <f t="shared" si="21"/>
        <v>46482.535433884303</v>
      </c>
      <c r="T102" s="26">
        <f t="shared" si="21"/>
        <v>55031.626342975214</v>
      </c>
      <c r="U102" s="26">
        <f t="shared" si="21"/>
        <v>63580.717252066126</v>
      </c>
      <c r="V102" s="26">
        <f t="shared" si="21"/>
        <v>79624.690220385688</v>
      </c>
      <c r="W102" s="26">
        <f t="shared" si="21"/>
        <v>54445.681955922875</v>
      </c>
      <c r="X102" s="26">
        <f t="shared" si="21"/>
        <v>125766.67369146006</v>
      </c>
      <c r="Y102" s="26">
        <f t="shared" si="21"/>
        <v>144239.23567493114</v>
      </c>
      <c r="Z102" s="26">
        <f t="shared" si="21"/>
        <v>160657.15169593666</v>
      </c>
      <c r="AA102" s="26">
        <f t="shared" si="21"/>
        <v>57272.854175275505</v>
      </c>
      <c r="AB102" s="26">
        <f t="shared" si="21"/>
        <v>200588.55665461437</v>
      </c>
      <c r="AC102" s="26">
        <f t="shared" si="21"/>
        <v>228404.25913395319</v>
      </c>
      <c r="AD102" s="26">
        <f t="shared" si="21"/>
        <v>251719.96161329202</v>
      </c>
      <c r="AE102" s="26">
        <f t="shared" si="21"/>
        <v>275035.66409263085</v>
      </c>
      <c r="AF102" s="26">
        <f t="shared" si="21"/>
        <v>293679.4657455234</v>
      </c>
      <c r="AG102" s="26">
        <f t="shared" si="21"/>
        <v>309223.26739841595</v>
      </c>
      <c r="AH102" s="26">
        <f t="shared" ref="AH102:BI102" si="22">+AH65-AH68-AH92</f>
        <v>329438.9698777548</v>
      </c>
      <c r="AI102" s="26">
        <f t="shared" si="22"/>
        <v>247754.67235709369</v>
      </c>
      <c r="AJ102" s="26">
        <f t="shared" si="22"/>
        <v>376070.37483643251</v>
      </c>
      <c r="AK102" s="26">
        <f t="shared" si="22"/>
        <v>399386.07731577131</v>
      </c>
      <c r="AL102" s="26">
        <f t="shared" si="22"/>
        <v>423830.48411458335</v>
      </c>
      <c r="AM102" s="26">
        <f t="shared" si="22"/>
        <v>325458.17353058286</v>
      </c>
      <c r="AN102" s="26">
        <f t="shared" si="22"/>
        <v>472068.64404228539</v>
      </c>
      <c r="AO102" s="26">
        <f t="shared" si="22"/>
        <v>503661.37908256223</v>
      </c>
      <c r="AP102" s="26">
        <f t="shared" si="22"/>
        <v>530235.8465872705</v>
      </c>
      <c r="AQ102" s="26">
        <f t="shared" si="22"/>
        <v>556791.49853034329</v>
      </c>
      <c r="AR102" s="26">
        <f t="shared" si="22"/>
        <v>578805.86961848487</v>
      </c>
      <c r="AS102" s="26">
        <f t="shared" si="22"/>
        <v>597550.27927728742</v>
      </c>
      <c r="AT102" s="26">
        <f t="shared" si="22"/>
        <v>620446.02949031675</v>
      </c>
      <c r="AU102" s="26">
        <f t="shared" si="22"/>
        <v>641920.60262296011</v>
      </c>
      <c r="AV102" s="26">
        <f t="shared" si="22"/>
        <v>680545.26418925228</v>
      </c>
      <c r="AW102" s="26">
        <f t="shared" si="22"/>
        <v>718919.35981740919</v>
      </c>
      <c r="AX102" s="26" t="e">
        <f t="shared" si="22"/>
        <v>#REF!</v>
      </c>
      <c r="AY102" s="26" t="e">
        <f t="shared" si="22"/>
        <v>#REF!</v>
      </c>
      <c r="AZ102" s="26" t="e">
        <f t="shared" si="22"/>
        <v>#REF!</v>
      </c>
      <c r="BA102" s="26" t="e">
        <f t="shared" si="22"/>
        <v>#REF!</v>
      </c>
      <c r="BB102" s="26" t="e">
        <f t="shared" si="22"/>
        <v>#REF!</v>
      </c>
      <c r="BC102" s="26" t="e">
        <f t="shared" si="22"/>
        <v>#REF!</v>
      </c>
      <c r="BD102" s="26" t="e">
        <f t="shared" si="22"/>
        <v>#REF!</v>
      </c>
      <c r="BE102" s="26" t="e">
        <f t="shared" si="22"/>
        <v>#REF!</v>
      </c>
      <c r="BF102" s="26" t="e">
        <f t="shared" si="22"/>
        <v>#REF!</v>
      </c>
      <c r="BG102" s="26" t="e">
        <f t="shared" si="22"/>
        <v>#REF!</v>
      </c>
      <c r="BH102" s="26" t="e">
        <f t="shared" si="22"/>
        <v>#REF!</v>
      </c>
      <c r="BI102" s="26" t="e">
        <f t="shared" si="22"/>
        <v>#REF!</v>
      </c>
    </row>
    <row r="104" spans="1:62" x14ac:dyDescent="0.4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5"/>
    </row>
    <row r="105" spans="1:62" x14ac:dyDescent="0.4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</row>
    <row r="106" spans="1:62" x14ac:dyDescent="0.45">
      <c r="A106" t="s">
        <v>61</v>
      </c>
      <c r="F106" s="19">
        <f t="shared" ref="F106:AX106" si="23">+E92+E43+E15</f>
        <v>2516.8000000000002</v>
      </c>
      <c r="G106" s="19">
        <f t="shared" si="23"/>
        <v>9610</v>
      </c>
      <c r="H106" s="19">
        <f t="shared" si="23"/>
        <v>64270.377933884294</v>
      </c>
      <c r="I106" s="19">
        <f t="shared" si="23"/>
        <v>17180.400000000001</v>
      </c>
      <c r="J106" s="19">
        <f t="shared" si="23"/>
        <v>32886.724999999999</v>
      </c>
      <c r="K106" s="19">
        <f t="shared" si="23"/>
        <v>9596.73</v>
      </c>
      <c r="L106" s="19">
        <f t="shared" si="23"/>
        <v>71218.399999999994</v>
      </c>
      <c r="M106" s="19">
        <f t="shared" si="23"/>
        <v>15918.4</v>
      </c>
      <c r="N106" s="19">
        <f t="shared" si="23"/>
        <v>137997.4</v>
      </c>
      <c r="O106" s="19">
        <f t="shared" si="23"/>
        <v>72297.399999999994</v>
      </c>
      <c r="P106" s="19">
        <f t="shared" si="23"/>
        <v>12797.4</v>
      </c>
      <c r="Q106" s="19">
        <f t="shared" si="23"/>
        <v>55547.4</v>
      </c>
      <c r="R106" s="19">
        <f t="shared" si="23"/>
        <v>56147.4</v>
      </c>
      <c r="S106" s="19">
        <f t="shared" si="23"/>
        <v>67247.399999999994</v>
      </c>
      <c r="T106" s="19">
        <f t="shared" si="23"/>
        <v>8807.4</v>
      </c>
      <c r="U106" s="19">
        <f t="shared" si="23"/>
        <v>8807.4</v>
      </c>
      <c r="V106" s="19">
        <f t="shared" si="23"/>
        <v>8807.4</v>
      </c>
      <c r="W106" s="19">
        <f t="shared" si="23"/>
        <v>24907.4</v>
      </c>
      <c r="X106" s="19">
        <f t="shared" si="23"/>
        <v>66407.399999999994</v>
      </c>
      <c r="Y106" s="19">
        <f t="shared" si="23"/>
        <v>11407.4</v>
      </c>
      <c r="Z106" s="19">
        <f t="shared" si="23"/>
        <v>11587.4</v>
      </c>
      <c r="AA106" s="19">
        <f t="shared" si="23"/>
        <v>12337.4</v>
      </c>
      <c r="AB106" s="19">
        <f t="shared" si="23"/>
        <v>139037.4</v>
      </c>
      <c r="AC106" s="19">
        <f t="shared" si="23"/>
        <v>19037.400000000001</v>
      </c>
      <c r="AD106" s="19">
        <f t="shared" si="23"/>
        <v>14537.4</v>
      </c>
      <c r="AE106" s="19">
        <f t="shared" si="23"/>
        <v>14537.4</v>
      </c>
      <c r="AF106" s="19">
        <f t="shared" si="23"/>
        <v>14537.4</v>
      </c>
      <c r="AG106" s="19">
        <f t="shared" si="23"/>
        <v>11437.4</v>
      </c>
      <c r="AH106" s="19">
        <f t="shared" si="23"/>
        <v>11437.4</v>
      </c>
      <c r="AI106" s="19">
        <f t="shared" si="23"/>
        <v>14537.4</v>
      </c>
      <c r="AJ106" s="19">
        <f t="shared" si="23"/>
        <v>119537.4</v>
      </c>
      <c r="AK106" s="19">
        <f t="shared" si="23"/>
        <v>14537.4</v>
      </c>
      <c r="AL106" s="19">
        <f t="shared" si="23"/>
        <v>14537.4</v>
      </c>
      <c r="AM106" s="19">
        <f t="shared" si="23"/>
        <v>15587.4</v>
      </c>
      <c r="AN106" s="19">
        <f t="shared" si="23"/>
        <v>140587.4</v>
      </c>
      <c r="AO106" s="19">
        <f t="shared" si="23"/>
        <v>20587.400000000001</v>
      </c>
      <c r="AP106" s="19">
        <f t="shared" si="23"/>
        <v>15587.4</v>
      </c>
      <c r="AQ106" s="19">
        <f t="shared" si="23"/>
        <v>15587.4</v>
      </c>
      <c r="AR106" s="19">
        <f t="shared" si="23"/>
        <v>15587.4</v>
      </c>
      <c r="AS106" s="19">
        <f t="shared" si="23"/>
        <v>11987.4</v>
      </c>
      <c r="AT106" s="19">
        <f t="shared" si="23"/>
        <v>11987.4</v>
      </c>
      <c r="AU106" s="19">
        <f t="shared" si="23"/>
        <v>15587.4</v>
      </c>
      <c r="AV106" s="19">
        <f t="shared" si="23"/>
        <v>20587.400000000001</v>
      </c>
      <c r="AW106" s="19">
        <f t="shared" si="23"/>
        <v>16187.4</v>
      </c>
      <c r="AX106" s="19">
        <f t="shared" si="23"/>
        <v>19787.400000000001</v>
      </c>
      <c r="BJ106" s="19"/>
    </row>
  </sheetData>
  <dataConsolidate/>
  <mergeCells count="5">
    <mergeCell ref="B1:M1"/>
    <mergeCell ref="N1:Y1"/>
    <mergeCell ref="Z1:AK1"/>
    <mergeCell ref="AL1:AW1"/>
    <mergeCell ref="AX1:BI1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0"/>
  <sheetViews>
    <sheetView showGridLines="0" workbookViewId="0">
      <pane ySplit="1" topLeftCell="A2" activePane="bottomLeft" state="frozen"/>
      <selection pane="bottomLeft" activeCell="B19" sqref="B19"/>
    </sheetView>
  </sheetViews>
  <sheetFormatPr baseColWidth="10" defaultColWidth="11.3984375" defaultRowHeight="14.25" outlineLevelRow="1" x14ac:dyDescent="0.45"/>
  <cols>
    <col min="1" max="1" width="54.86328125" customWidth="1"/>
    <col min="2" max="2" width="21.3984375" customWidth="1"/>
    <col min="3" max="4" width="18.1328125" bestFit="1" customWidth="1"/>
    <col min="5" max="5" width="21.265625" customWidth="1"/>
    <col min="6" max="7" width="23.3984375" hidden="1" customWidth="1"/>
    <col min="8" max="8" width="19.86328125" style="3" customWidth="1"/>
    <col min="9" max="9" width="14.3984375" style="29" customWidth="1"/>
    <col min="10" max="14" width="14.3984375" style="30" customWidth="1"/>
  </cols>
  <sheetData>
    <row r="1" spans="1:14" ht="25.5" x14ac:dyDescent="0.75">
      <c r="A1" s="101"/>
      <c r="B1" s="102">
        <v>2018</v>
      </c>
      <c r="C1" s="102">
        <v>2019</v>
      </c>
      <c r="D1" s="102">
        <v>2020</v>
      </c>
      <c r="E1" s="102">
        <v>2021</v>
      </c>
      <c r="F1" s="102">
        <v>2023</v>
      </c>
      <c r="G1" s="102"/>
      <c r="H1" s="103" t="s">
        <v>167</v>
      </c>
    </row>
    <row r="2" spans="1:14" s="33" customFormat="1" ht="19.5" x14ac:dyDescent="0.6">
      <c r="A2" s="104" t="s">
        <v>36</v>
      </c>
      <c r="B2" s="105">
        <f>+B3+B4</f>
        <v>0</v>
      </c>
      <c r="C2" s="105">
        <f>+C3+C4</f>
        <v>1057755.7024793387</v>
      </c>
      <c r="D2" s="105">
        <f>+D3+D4</f>
        <v>3878178.5123966942</v>
      </c>
      <c r="E2" s="105">
        <f>+E3+E4</f>
        <v>7383305.7851239676</v>
      </c>
      <c r="F2" s="105">
        <f>+F3+F4</f>
        <v>0</v>
      </c>
      <c r="G2" s="105"/>
      <c r="H2" s="108">
        <f>SUM(B2:F2)</f>
        <v>12319240</v>
      </c>
      <c r="I2" s="31"/>
      <c r="J2" s="32"/>
      <c r="K2" s="32"/>
      <c r="L2" s="32"/>
      <c r="M2" s="32"/>
      <c r="N2" s="32"/>
    </row>
    <row r="3" spans="1:14" s="33" customFormat="1" ht="19.5" hidden="1" x14ac:dyDescent="0.6">
      <c r="A3" s="107"/>
      <c r="B3" s="108">
        <f>SUM('P&amp;L Mensuel'!E4:M4)</f>
        <v>0</v>
      </c>
      <c r="C3" s="108">
        <f>SUM('P&amp;L Mensuel'!N4:Y4)</f>
        <v>1057755.7024793387</v>
      </c>
      <c r="D3" s="108">
        <f>SUM('P&amp;L Mensuel'!Z4:AK4)</f>
        <v>3878178.5123966942</v>
      </c>
      <c r="E3" s="108">
        <f>SUM('P&amp;L Mensuel'!AL4:AW4)</f>
        <v>7383305.7851239676</v>
      </c>
      <c r="F3" s="108"/>
      <c r="G3" s="108"/>
      <c r="H3" s="108">
        <f t="shared" ref="H3" si="0">SUM(B3:F3)</f>
        <v>12319240</v>
      </c>
      <c r="I3" s="31"/>
      <c r="J3" s="32"/>
      <c r="K3" s="32"/>
      <c r="L3" s="32"/>
      <c r="M3" s="32"/>
      <c r="N3" s="32"/>
    </row>
    <row r="4" spans="1:14" s="33" customFormat="1" ht="19.5" x14ac:dyDescent="0.6">
      <c r="A4" s="107"/>
      <c r="B4" s="108"/>
      <c r="C4" s="108"/>
      <c r="D4" s="108"/>
      <c r="E4" s="108"/>
      <c r="F4" s="108"/>
      <c r="G4" s="108"/>
      <c r="H4" s="106"/>
      <c r="I4" s="31"/>
      <c r="J4" s="32"/>
      <c r="K4" s="32"/>
      <c r="L4" s="32"/>
      <c r="M4" s="32"/>
      <c r="N4" s="32"/>
    </row>
    <row r="5" spans="1:14" x14ac:dyDescent="0.45">
      <c r="A5" s="101"/>
      <c r="B5" s="114"/>
      <c r="C5" s="114"/>
      <c r="D5" s="114"/>
      <c r="E5" s="114"/>
      <c r="F5" s="114"/>
      <c r="G5" s="114"/>
      <c r="H5" s="114"/>
      <c r="I5" s="31"/>
      <c r="J5" s="32"/>
      <c r="K5" s="32"/>
      <c r="L5" s="32"/>
      <c r="M5" s="32"/>
      <c r="N5" s="32"/>
    </row>
    <row r="6" spans="1:14" s="33" customFormat="1" ht="19.5" x14ac:dyDescent="0.6">
      <c r="A6" s="107" t="s">
        <v>37</v>
      </c>
      <c r="B6" s="108">
        <f>SUM('P&amp;L Mensuel'!E15:M15)</f>
        <v>309678.39293388429</v>
      </c>
      <c r="C6" s="108">
        <f>SUM('P&amp;L Mensuel'!N15:Y15)</f>
        <v>232600</v>
      </c>
      <c r="D6" s="108">
        <f>SUM('P&amp;L Mensuel'!Z15:AK15)</f>
        <v>292700</v>
      </c>
      <c r="E6" s="108">
        <f>SUM('P&amp;L Mensuel'!AL15:AW15)</f>
        <v>210600</v>
      </c>
      <c r="F6" s="108"/>
      <c r="G6" s="108"/>
      <c r="H6" s="106">
        <f>SUM(B6:F6)</f>
        <v>1045578.3929338843</v>
      </c>
      <c r="I6" s="31"/>
      <c r="J6" s="32"/>
      <c r="K6" s="32"/>
      <c r="L6" s="32"/>
      <c r="M6" s="32"/>
      <c r="N6" s="32"/>
    </row>
    <row r="7" spans="1:14" x14ac:dyDescent="0.45">
      <c r="A7" s="115"/>
      <c r="B7" s="116"/>
      <c r="C7" s="116"/>
      <c r="D7" s="116"/>
      <c r="E7" s="116"/>
      <c r="F7" s="116"/>
      <c r="G7" s="116"/>
      <c r="H7" s="117">
        <f t="shared" ref="H7:H10" si="1">SUM(B7:F7)</f>
        <v>0</v>
      </c>
      <c r="I7" s="31"/>
      <c r="J7" s="32"/>
      <c r="K7" s="32"/>
      <c r="L7" s="32"/>
      <c r="M7" s="32"/>
      <c r="N7" s="32"/>
    </row>
    <row r="8" spans="1:14" hidden="1" x14ac:dyDescent="0.45">
      <c r="A8" s="115"/>
      <c r="B8" s="116"/>
      <c r="C8" s="116"/>
      <c r="D8" s="116"/>
      <c r="E8" s="116"/>
      <c r="F8" s="116"/>
      <c r="G8" s="116"/>
      <c r="H8" s="117">
        <f t="shared" si="1"/>
        <v>0</v>
      </c>
      <c r="I8" s="31"/>
      <c r="J8" s="32"/>
      <c r="K8" s="32"/>
      <c r="L8" s="32"/>
      <c r="M8" s="32"/>
      <c r="N8" s="32"/>
    </row>
    <row r="9" spans="1:14" hidden="1" x14ac:dyDescent="0.45">
      <c r="A9" s="115"/>
      <c r="B9" s="116"/>
      <c r="C9" s="116"/>
      <c r="D9" s="116"/>
      <c r="E9" s="116"/>
      <c r="F9" s="116"/>
      <c r="G9" s="116"/>
      <c r="H9" s="117">
        <f t="shared" si="1"/>
        <v>0</v>
      </c>
      <c r="I9" s="31"/>
      <c r="J9" s="32"/>
      <c r="K9" s="32"/>
      <c r="L9" s="32"/>
      <c r="M9" s="32"/>
      <c r="N9" s="32"/>
    </row>
    <row r="10" spans="1:14" hidden="1" x14ac:dyDescent="0.45">
      <c r="A10" s="115"/>
      <c r="B10" s="116"/>
      <c r="C10" s="116"/>
      <c r="D10" s="116"/>
      <c r="E10" s="116"/>
      <c r="F10" s="116"/>
      <c r="G10" s="116"/>
      <c r="H10" s="117">
        <f t="shared" si="1"/>
        <v>0</v>
      </c>
      <c r="I10" s="31"/>
      <c r="J10" s="32"/>
      <c r="K10" s="32"/>
      <c r="L10" s="32"/>
      <c r="M10" s="32"/>
      <c r="N10" s="32"/>
    </row>
    <row r="11" spans="1:14" hidden="1" x14ac:dyDescent="0.45">
      <c r="A11" s="115" t="s">
        <v>141</v>
      </c>
      <c r="B11" s="116">
        <v>0</v>
      </c>
      <c r="C11" s="116">
        <v>0</v>
      </c>
      <c r="D11" s="116">
        <v>0</v>
      </c>
      <c r="E11" s="116">
        <v>0</v>
      </c>
      <c r="F11" s="116">
        <v>0</v>
      </c>
      <c r="G11" s="116"/>
      <c r="H11" s="114"/>
      <c r="I11" s="31"/>
      <c r="J11" s="32"/>
      <c r="K11" s="32"/>
      <c r="L11" s="32"/>
      <c r="M11" s="32"/>
      <c r="N11" s="32"/>
    </row>
    <row r="12" spans="1:14" hidden="1" x14ac:dyDescent="0.45">
      <c r="A12" s="115" t="s">
        <v>142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/>
      <c r="H12" s="114"/>
      <c r="I12" s="31"/>
      <c r="J12" s="32"/>
      <c r="K12" s="32"/>
      <c r="L12" s="32"/>
      <c r="M12" s="32"/>
      <c r="N12" s="32"/>
    </row>
    <row r="13" spans="1:14" hidden="1" x14ac:dyDescent="0.45">
      <c r="A13" s="115" t="s">
        <v>143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/>
      <c r="H13" s="114"/>
      <c r="I13" s="31"/>
      <c r="J13" s="35"/>
      <c r="K13" s="35"/>
      <c r="L13" s="35"/>
    </row>
    <row r="14" spans="1:14" hidden="1" x14ac:dyDescent="0.45">
      <c r="A14" s="115" t="s">
        <v>144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/>
      <c r="H14" s="114"/>
      <c r="I14" s="31"/>
      <c r="J14" s="35"/>
    </row>
    <row r="15" spans="1:14" x14ac:dyDescent="0.45">
      <c r="A15" s="115"/>
      <c r="B15" s="116"/>
      <c r="C15" s="116"/>
      <c r="D15" s="116"/>
      <c r="E15" s="116"/>
      <c r="F15" s="116"/>
      <c r="G15" s="116"/>
      <c r="H15" s="114"/>
      <c r="I15" s="31"/>
      <c r="J15" s="35"/>
    </row>
    <row r="16" spans="1:14" s="33" customFormat="1" ht="19.5" x14ac:dyDescent="0.6">
      <c r="A16" s="107" t="s">
        <v>38</v>
      </c>
      <c r="B16" s="108">
        <f>SUM('P&amp;L Mensuel'!E43:M43)</f>
        <v>33211.840000000004</v>
      </c>
      <c r="C16" s="108">
        <f>SUM('P&amp;L Mensuel'!N43:Y43)</f>
        <v>55168.80000000001</v>
      </c>
      <c r="D16" s="108">
        <f>SUM('P&amp;L Mensuel'!Z43:AK43)</f>
        <v>83348.799999999988</v>
      </c>
      <c r="E16" s="108">
        <f>SUM('P&amp;L Mensuel'!AL43:AW43)</f>
        <v>85048.799999999988</v>
      </c>
      <c r="F16" s="108"/>
      <c r="G16" s="108"/>
      <c r="H16" s="106">
        <f>SUM(B16:F16)</f>
        <v>256778.23999999999</v>
      </c>
      <c r="I16" s="36"/>
      <c r="J16" s="35"/>
      <c r="K16" s="35"/>
      <c r="L16" s="35"/>
      <c r="M16" s="35"/>
      <c r="N16" s="35"/>
    </row>
    <row r="17" spans="1:14" s="33" customFormat="1" ht="19.5" x14ac:dyDescent="0.6">
      <c r="A17" s="107"/>
      <c r="B17" s="118"/>
      <c r="C17" s="108"/>
      <c r="D17" s="108"/>
      <c r="E17" s="108"/>
      <c r="F17" s="108"/>
      <c r="G17" s="108"/>
      <c r="H17" s="119"/>
      <c r="I17" s="36"/>
      <c r="J17" s="35"/>
      <c r="K17" s="35"/>
      <c r="L17" s="35"/>
      <c r="M17" s="35"/>
      <c r="N17" s="35"/>
    </row>
    <row r="18" spans="1:14" s="33" customFormat="1" ht="19.5" x14ac:dyDescent="0.6">
      <c r="A18" s="107" t="s">
        <v>41</v>
      </c>
      <c r="B18" s="120">
        <f>SUM('P&amp;L Mensuel'!E92:M92)</f>
        <v>18305</v>
      </c>
      <c r="C18" s="120">
        <f>SUM('P&amp;L Mensuel'!N92:Y92)</f>
        <v>117000</v>
      </c>
      <c r="D18" s="120">
        <f>SUM('P&amp;L Mensuel'!Z92:AK92)</f>
        <v>24000</v>
      </c>
      <c r="E18" s="120">
        <f>SUM('P&amp;L Mensuel'!AL92:AW92)</f>
        <v>24000</v>
      </c>
      <c r="F18" s="120"/>
      <c r="G18" s="120"/>
      <c r="H18" s="106">
        <f>SUM(B18:F18)</f>
        <v>183305</v>
      </c>
      <c r="K18" s="35"/>
      <c r="L18" s="35"/>
      <c r="M18" s="35"/>
      <c r="N18" s="35"/>
    </row>
    <row r="19" spans="1:14" s="33" customFormat="1" ht="19.5" x14ac:dyDescent="0.6">
      <c r="A19" s="107"/>
      <c r="B19" s="120"/>
      <c r="C19" s="120"/>
      <c r="D19" s="120"/>
      <c r="E19" s="120"/>
      <c r="F19" s="120"/>
      <c r="G19" s="120"/>
      <c r="H19" s="119"/>
      <c r="K19" s="35"/>
      <c r="L19" s="35"/>
      <c r="M19" s="35"/>
      <c r="N19" s="35"/>
    </row>
    <row r="20" spans="1:14" s="33" customFormat="1" ht="25.5" x14ac:dyDescent="0.75">
      <c r="A20" s="121" t="s">
        <v>39</v>
      </c>
      <c r="B20" s="120">
        <f>+B2-B6-B16-B18</f>
        <v>-361195.23293388431</v>
      </c>
      <c r="C20" s="120">
        <f>+C2-C6-C16-C18</f>
        <v>652986.90247933869</v>
      </c>
      <c r="D20" s="120">
        <f>+D2-D6-D16-D18</f>
        <v>3478129.7123966943</v>
      </c>
      <c r="E20" s="120">
        <f>+E2-E6-E16-E18</f>
        <v>7063656.9851239678</v>
      </c>
      <c r="F20" s="120">
        <f>+F2-F6-F16-F18</f>
        <v>0</v>
      </c>
      <c r="G20" s="120"/>
      <c r="H20" s="108">
        <f>+H2-H6-H16-H18</f>
        <v>10833578.367066115</v>
      </c>
      <c r="I20" s="36"/>
    </row>
    <row r="21" spans="1:14" x14ac:dyDescent="0.45">
      <c r="A21" s="111" t="s">
        <v>170</v>
      </c>
      <c r="B21" s="122" t="s">
        <v>169</v>
      </c>
      <c r="C21" s="129">
        <f>C20/C2</f>
        <v>0.61733243408545324</v>
      </c>
      <c r="D21" s="129">
        <f>D20/D2</f>
        <v>0.89684621305563061</v>
      </c>
      <c r="E21" s="129">
        <f>E20/E2</f>
        <v>0.95670654726991877</v>
      </c>
      <c r="F21" s="122" t="e">
        <f>F20/F2</f>
        <v>#DIV/0!</v>
      </c>
      <c r="G21" s="122"/>
      <c r="H21" s="114"/>
      <c r="J21" s="32"/>
      <c r="K21" s="32"/>
      <c r="L21" s="32"/>
      <c r="M21" s="32"/>
      <c r="N21" s="32"/>
    </row>
    <row r="22" spans="1:14" s="34" customFormat="1" ht="13.15" outlineLevel="1" x14ac:dyDescent="0.4">
      <c r="A22" s="115"/>
      <c r="B22" s="123"/>
      <c r="C22" s="123"/>
      <c r="D22" s="123"/>
      <c r="E22" s="123"/>
      <c r="F22" s="123"/>
      <c r="G22" s="123"/>
      <c r="H22" s="124"/>
      <c r="I22" s="29"/>
      <c r="J22" s="30"/>
      <c r="K22" s="30"/>
      <c r="L22" s="30"/>
      <c r="M22" s="30"/>
      <c r="N22" s="30"/>
    </row>
    <row r="23" spans="1:14" s="33" customFormat="1" ht="19.5" x14ac:dyDescent="0.6">
      <c r="A23" s="107" t="s">
        <v>40</v>
      </c>
      <c r="B23" s="120">
        <f>SUM('P&amp;L Mensuel'!E68:M68)</f>
        <v>18606.770833333336</v>
      </c>
      <c r="C23" s="120">
        <f>SUM('P&amp;L Mensuel'!N68:Y68)</f>
        <v>216380.20833333337</v>
      </c>
      <c r="D23" s="120">
        <f>SUM('P&amp;L Mensuel'!Z68:AK68)</f>
        <v>348898.4375</v>
      </c>
      <c r="E23" s="120">
        <f>SUM('P&amp;L Mensuel'!AL68:AW68)</f>
        <v>413423.55422062898</v>
      </c>
      <c r="F23" s="120"/>
      <c r="G23" s="120"/>
      <c r="H23" s="106">
        <f>SUM(B23:F23)</f>
        <v>997308.97088729567</v>
      </c>
    </row>
    <row r="24" spans="1:14" s="33" customFormat="1" ht="19.5" x14ac:dyDescent="0.6">
      <c r="A24" s="111" t="s">
        <v>43</v>
      </c>
      <c r="B24" s="112" t="s">
        <v>169</v>
      </c>
      <c r="C24" s="129">
        <f>+C23/C2</f>
        <v>0.20456539050193392</v>
      </c>
      <c r="D24" s="129">
        <f>+D23/D2</f>
        <v>8.9964512047276179E-2</v>
      </c>
      <c r="E24" s="129">
        <f>+E23/E2</f>
        <v>5.5994369765045224E-2</v>
      </c>
      <c r="F24" s="112" t="e">
        <f>+F23/F2</f>
        <v>#DIV/0!</v>
      </c>
      <c r="G24" s="112"/>
      <c r="H24" s="113"/>
      <c r="M24" s="35"/>
      <c r="N24" s="35"/>
    </row>
    <row r="25" spans="1:14" hidden="1" x14ac:dyDescent="0.45">
      <c r="A25" s="101"/>
      <c r="B25" s="101"/>
      <c r="C25" s="101"/>
      <c r="D25" s="101"/>
      <c r="E25" s="101"/>
      <c r="F25" s="101"/>
      <c r="G25" s="101"/>
      <c r="H25" s="114"/>
    </row>
    <row r="26" spans="1:14" hidden="1" x14ac:dyDescent="0.45">
      <c r="A26" s="101"/>
      <c r="B26" s="101"/>
      <c r="C26" s="101"/>
      <c r="D26" s="101"/>
      <c r="E26" s="101"/>
      <c r="F26" s="101"/>
      <c r="G26" s="101"/>
      <c r="H26" s="114"/>
    </row>
    <row r="27" spans="1:14" x14ac:dyDescent="0.45">
      <c r="A27" s="101"/>
      <c r="B27" s="126"/>
      <c r="C27" s="126"/>
      <c r="D27" s="126"/>
      <c r="E27" s="126"/>
      <c r="F27" s="126"/>
      <c r="G27" s="126"/>
      <c r="H27" s="114"/>
    </row>
    <row r="28" spans="1:14" s="33" customFormat="1" ht="25.5" x14ac:dyDescent="0.75">
      <c r="A28" s="121" t="s">
        <v>42</v>
      </c>
      <c r="B28" s="120">
        <f>+B20-B23</f>
        <v>-379802.00376721763</v>
      </c>
      <c r="C28" s="120">
        <f t="shared" ref="C28:E28" si="2">+C20-C23</f>
        <v>436606.69414600532</v>
      </c>
      <c r="D28" s="120">
        <f t="shared" si="2"/>
        <v>3129231.2748966943</v>
      </c>
      <c r="E28" s="120">
        <f t="shared" si="2"/>
        <v>6650233.4309033388</v>
      </c>
      <c r="F28" s="120"/>
      <c r="G28" s="120"/>
      <c r="H28" s="125">
        <f>SUM(B28:F28)</f>
        <v>9836269.3961788211</v>
      </c>
      <c r="I28" s="38"/>
      <c r="J28" s="35"/>
      <c r="K28" s="35"/>
      <c r="L28" s="35"/>
      <c r="M28" s="35"/>
      <c r="N28" s="35"/>
    </row>
    <row r="29" spans="1:14" x14ac:dyDescent="0.45">
      <c r="A29" s="111" t="s">
        <v>171</v>
      </c>
      <c r="B29" s="128" t="s">
        <v>169</v>
      </c>
      <c r="C29" s="129">
        <f>C28/C2</f>
        <v>0.41276704358351934</v>
      </c>
      <c r="D29" s="129">
        <f>D28/D2</f>
        <v>0.80688170100835443</v>
      </c>
      <c r="E29" s="129">
        <f>E28/E2</f>
        <v>0.90071217750487353</v>
      </c>
      <c r="F29" s="127" t="e">
        <f>F28/F2</f>
        <v>#DIV/0!</v>
      </c>
      <c r="G29" s="127"/>
      <c r="H29" s="114"/>
    </row>
    <row r="30" spans="1:14" ht="19.5" x14ac:dyDescent="0.6">
      <c r="A30" s="101" t="s">
        <v>44</v>
      </c>
      <c r="B30" s="120"/>
      <c r="C30" s="120"/>
      <c r="D30" s="120"/>
      <c r="E30" s="120"/>
      <c r="F30" s="120"/>
      <c r="G30" s="120"/>
      <c r="H30" s="114"/>
    </row>
    <row r="31" spans="1:14" x14ac:dyDescent="0.45">
      <c r="A31" s="101"/>
      <c r="B31" s="101"/>
      <c r="C31" s="101"/>
      <c r="D31" s="101"/>
      <c r="E31" s="101"/>
      <c r="F31" s="101"/>
      <c r="G31" s="101"/>
      <c r="H31" s="114"/>
    </row>
    <row r="32" spans="1:14" x14ac:dyDescent="0.45">
      <c r="A32" s="101" t="s">
        <v>45</v>
      </c>
      <c r="B32" s="126">
        <f>B28-B30</f>
        <v>-379802.00376721763</v>
      </c>
      <c r="C32" s="126">
        <f>C28-C30</f>
        <v>436606.69414600532</v>
      </c>
      <c r="D32" s="126">
        <f>D28-D30</f>
        <v>3129231.2748966943</v>
      </c>
      <c r="E32" s="126">
        <f>E28-E30</f>
        <v>6650233.4309033388</v>
      </c>
      <c r="F32" s="126">
        <f>F28-F30</f>
        <v>0</v>
      </c>
      <c r="G32" s="126"/>
      <c r="H32" s="114"/>
    </row>
    <row r="33" spans="1:14" x14ac:dyDescent="0.45">
      <c r="A33" s="101"/>
      <c r="B33" s="101"/>
      <c r="C33" s="101"/>
      <c r="D33" s="101"/>
      <c r="E33" s="101"/>
      <c r="F33" s="101"/>
      <c r="G33" s="101"/>
      <c r="H33" s="114"/>
    </row>
    <row r="34" spans="1:14" s="33" customFormat="1" ht="19.5" x14ac:dyDescent="0.6">
      <c r="A34" s="107" t="s">
        <v>46</v>
      </c>
      <c r="B34" s="120">
        <v>0</v>
      </c>
      <c r="C34" s="120">
        <v>0</v>
      </c>
      <c r="D34" s="120">
        <v>0</v>
      </c>
      <c r="E34" s="120">
        <v>0</v>
      </c>
      <c r="F34" s="120">
        <v>0</v>
      </c>
      <c r="G34" s="120"/>
      <c r="H34" s="119"/>
      <c r="I34" s="36"/>
      <c r="J34" s="35"/>
      <c r="K34" s="35"/>
      <c r="L34" s="35"/>
      <c r="M34" s="35"/>
      <c r="N34" s="35"/>
    </row>
    <row r="35" spans="1:14" s="33" customFormat="1" ht="19.5" x14ac:dyDescent="0.6">
      <c r="A35" s="107" t="s">
        <v>47</v>
      </c>
      <c r="B35" s="120">
        <f>B32+B34</f>
        <v>-379802.00376721763</v>
      </c>
      <c r="C35" s="120">
        <f>C32+C34</f>
        <v>436606.69414600532</v>
      </c>
      <c r="D35" s="120">
        <f>D32+D34</f>
        <v>3129231.2748966943</v>
      </c>
      <c r="E35" s="120">
        <f>E32+E34</f>
        <v>6650233.4309033388</v>
      </c>
      <c r="F35" s="120">
        <f>F32+F34</f>
        <v>0</v>
      </c>
      <c r="G35" s="120"/>
      <c r="H35" s="125">
        <f>SUM(B35:F35)</f>
        <v>9836269.3961788211</v>
      </c>
      <c r="I35" s="36"/>
      <c r="J35" s="35"/>
      <c r="K35" s="35"/>
      <c r="L35" s="35"/>
      <c r="M35" s="35"/>
      <c r="N35" s="35"/>
    </row>
    <row r="36" spans="1:14" s="33" customFormat="1" ht="19.5" x14ac:dyDescent="0.6">
      <c r="A36" s="101" t="s">
        <v>172</v>
      </c>
      <c r="B36" s="128" t="s">
        <v>169</v>
      </c>
      <c r="C36" s="129">
        <f>C32/C2</f>
        <v>0.41276704358351934</v>
      </c>
      <c r="D36" s="129">
        <f>D32/D2</f>
        <v>0.80688170100835443</v>
      </c>
      <c r="E36" s="129">
        <f>E32/E2</f>
        <v>0.90071217750487353</v>
      </c>
      <c r="F36" s="120"/>
      <c r="G36" s="120"/>
      <c r="H36" s="125"/>
      <c r="I36" s="36"/>
      <c r="J36" s="35"/>
      <c r="K36" s="35"/>
      <c r="L36" s="35"/>
      <c r="M36" s="35"/>
      <c r="N36" s="35"/>
    </row>
    <row r="37" spans="1:14" s="33" customFormat="1" ht="19.5" x14ac:dyDescent="0.6">
      <c r="A37" s="107" t="s">
        <v>48</v>
      </c>
      <c r="B37" s="120"/>
      <c r="C37" s="120"/>
      <c r="D37" s="120"/>
      <c r="E37" s="120"/>
      <c r="F37" s="120"/>
      <c r="G37" s="120"/>
      <c r="H37" s="119"/>
      <c r="I37" s="36"/>
      <c r="J37" s="35"/>
      <c r="K37" s="35"/>
      <c r="L37" s="35"/>
      <c r="M37" s="35"/>
      <c r="N37" s="35"/>
    </row>
    <row r="38" spans="1:14" x14ac:dyDescent="0.45">
      <c r="A38" s="101" t="s">
        <v>49</v>
      </c>
      <c r="B38" s="109"/>
      <c r="C38" s="110">
        <f>IF(B35&lt;0,-B35,0)</f>
        <v>379802.00376721763</v>
      </c>
      <c r="D38" s="110">
        <f>IF(C35-C38&lt;0,-(C35-C38),0)</f>
        <v>0</v>
      </c>
      <c r="E38" s="110">
        <f t="shared" ref="E38:F38" si="3">IF(D35-D38&lt;0,-(D35-D38),0)</f>
        <v>0</v>
      </c>
      <c r="F38" s="110">
        <f t="shared" si="3"/>
        <v>0</v>
      </c>
      <c r="G38" s="110"/>
      <c r="H38" s="114"/>
    </row>
    <row r="39" spans="1:14" x14ac:dyDescent="0.45">
      <c r="A39" s="101" t="s">
        <v>168</v>
      </c>
      <c r="B39" s="114">
        <v>0</v>
      </c>
      <c r="C39" s="114">
        <v>0</v>
      </c>
      <c r="D39" s="110">
        <f>25%*(D35+C40-D38)</f>
        <v>796508.99131887057</v>
      </c>
      <c r="E39" s="110">
        <f>25%*E35</f>
        <v>1662558.3577258347</v>
      </c>
      <c r="F39" s="109">
        <v>0</v>
      </c>
      <c r="G39" s="109"/>
      <c r="H39" s="114"/>
    </row>
    <row r="40" spans="1:14" s="33" customFormat="1" ht="19.5" x14ac:dyDescent="0.6">
      <c r="A40" s="130" t="s">
        <v>50</v>
      </c>
      <c r="B40" s="131">
        <f>B35+B37-B39</f>
        <v>-379802.00376721763</v>
      </c>
      <c r="C40" s="131">
        <f>C35+C37-C39-C38</f>
        <v>56804.690378787694</v>
      </c>
      <c r="D40" s="131">
        <f>D35+D37-D39-D38</f>
        <v>2332722.283577824</v>
      </c>
      <c r="E40" s="131">
        <f>E35+E37-E39-E38</f>
        <v>4987675.0731775044</v>
      </c>
      <c r="F40" s="120">
        <f>F35+F37-F39</f>
        <v>0</v>
      </c>
      <c r="G40" s="120"/>
      <c r="H40" s="125">
        <f>SUMIF(B40:F40,"&gt;0")</f>
        <v>7377202.0471341163</v>
      </c>
      <c r="I40" s="36"/>
      <c r="J40" s="35"/>
      <c r="K40" s="35"/>
      <c r="L40" s="35"/>
      <c r="M40" s="35"/>
      <c r="N40" s="3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55"/>
  <sheetViews>
    <sheetView zoomScale="80" zoomScaleNormal="80" workbookViewId="0">
      <pane xSplit="1" ySplit="3" topLeftCell="J28" activePane="bottomRight" state="frozen"/>
      <selection pane="topRight" activeCell="B1" sqref="B1"/>
      <selection pane="bottomLeft" activeCell="A4" sqref="A4"/>
      <selection pane="bottomRight" activeCell="J11" sqref="J11"/>
    </sheetView>
  </sheetViews>
  <sheetFormatPr baseColWidth="10" defaultColWidth="11.3984375" defaultRowHeight="14.25" x14ac:dyDescent="0.45"/>
  <cols>
    <col min="1" max="1" width="56.73046875" bestFit="1" customWidth="1"/>
    <col min="2" max="11" width="22.73046875" bestFit="1" customWidth="1"/>
    <col min="12" max="46" width="24.73046875" bestFit="1" customWidth="1"/>
    <col min="47" max="61" width="24.73046875" hidden="1" customWidth="1"/>
    <col min="62" max="62" width="0" hidden="1" customWidth="1"/>
  </cols>
  <sheetData>
    <row r="1" spans="1:63" x14ac:dyDescent="0.45">
      <c r="B1" s="142" t="s">
        <v>31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 t="s">
        <v>53</v>
      </c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2" t="s">
        <v>54</v>
      </c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</row>
    <row r="2" spans="1:63" x14ac:dyDescent="0.45">
      <c r="A2" t="s">
        <v>55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5">
        <v>19</v>
      </c>
      <c r="U2" s="5">
        <v>20</v>
      </c>
      <c r="V2" s="5">
        <v>21</v>
      </c>
      <c r="W2" s="5">
        <v>22</v>
      </c>
      <c r="X2" s="5">
        <v>23</v>
      </c>
      <c r="Y2" s="5">
        <v>24</v>
      </c>
      <c r="Z2" s="5">
        <v>25</v>
      </c>
      <c r="AA2" s="5">
        <v>26</v>
      </c>
      <c r="AB2" s="5">
        <v>27</v>
      </c>
      <c r="AC2" s="5">
        <v>28</v>
      </c>
      <c r="AD2" s="5">
        <v>29</v>
      </c>
      <c r="AE2" s="5">
        <v>30</v>
      </c>
      <c r="AF2" s="5">
        <v>31</v>
      </c>
      <c r="AG2" s="5">
        <v>32</v>
      </c>
      <c r="AH2" s="5">
        <v>33</v>
      </c>
      <c r="AI2" s="5">
        <v>34</v>
      </c>
      <c r="AJ2" s="5">
        <v>35</v>
      </c>
      <c r="AK2" s="5">
        <v>36</v>
      </c>
      <c r="AL2" s="5">
        <v>37</v>
      </c>
      <c r="AM2" s="5">
        <v>38</v>
      </c>
      <c r="AN2" s="5">
        <v>39</v>
      </c>
      <c r="AO2" s="5">
        <v>40</v>
      </c>
      <c r="AP2" s="5">
        <v>41</v>
      </c>
      <c r="AQ2" s="5">
        <v>42</v>
      </c>
      <c r="AR2" s="5">
        <v>43</v>
      </c>
      <c r="AS2" s="5">
        <v>44</v>
      </c>
      <c r="AT2" s="5">
        <v>45</v>
      </c>
      <c r="AU2" s="5">
        <v>46</v>
      </c>
      <c r="AV2" s="5">
        <v>47</v>
      </c>
      <c r="AW2" s="5">
        <v>48</v>
      </c>
      <c r="AX2" s="5">
        <v>49</v>
      </c>
      <c r="AY2" s="5">
        <v>50</v>
      </c>
      <c r="AZ2" s="5">
        <v>51</v>
      </c>
      <c r="BA2" s="5">
        <v>52</v>
      </c>
      <c r="BB2" s="5">
        <v>53</v>
      </c>
      <c r="BC2" s="5">
        <v>54</v>
      </c>
      <c r="BD2" s="5">
        <v>55</v>
      </c>
      <c r="BE2" s="5">
        <v>56</v>
      </c>
      <c r="BF2" s="5">
        <v>57</v>
      </c>
      <c r="BG2" s="5">
        <v>58</v>
      </c>
      <c r="BH2" s="5">
        <v>59</v>
      </c>
      <c r="BI2" s="5">
        <v>60</v>
      </c>
    </row>
    <row r="3" spans="1:63" ht="25.5" x14ac:dyDescent="0.75">
      <c r="A3" s="43"/>
      <c r="B3" s="44">
        <v>43191</v>
      </c>
      <c r="C3" s="44">
        <v>43221</v>
      </c>
      <c r="D3" s="44">
        <v>43252</v>
      </c>
      <c r="E3" s="44">
        <v>43282</v>
      </c>
      <c r="F3" s="44">
        <v>43313</v>
      </c>
      <c r="G3" s="44">
        <v>43344</v>
      </c>
      <c r="H3" s="44">
        <v>43374</v>
      </c>
      <c r="I3" s="44">
        <v>43405</v>
      </c>
      <c r="J3" s="44">
        <v>43435</v>
      </c>
      <c r="K3" s="44">
        <v>43466</v>
      </c>
      <c r="L3" s="44">
        <v>43497</v>
      </c>
      <c r="M3" s="44">
        <v>43525</v>
      </c>
      <c r="N3" s="44">
        <v>43556</v>
      </c>
      <c r="O3" s="44">
        <v>43586</v>
      </c>
      <c r="P3" s="44">
        <v>43617</v>
      </c>
      <c r="Q3" s="44">
        <v>43647</v>
      </c>
      <c r="R3" s="44">
        <v>43678</v>
      </c>
      <c r="S3" s="44">
        <v>43709</v>
      </c>
      <c r="T3" s="44">
        <v>43739</v>
      </c>
      <c r="U3" s="44">
        <v>43770</v>
      </c>
      <c r="V3" s="44">
        <v>43800</v>
      </c>
      <c r="W3" s="44">
        <v>43831</v>
      </c>
      <c r="X3" s="44">
        <v>43862</v>
      </c>
      <c r="Y3" s="44">
        <v>43891</v>
      </c>
      <c r="Z3" s="44">
        <v>43922</v>
      </c>
      <c r="AA3" s="44">
        <v>43952</v>
      </c>
      <c r="AB3" s="44">
        <v>43983</v>
      </c>
      <c r="AC3" s="44">
        <v>44013</v>
      </c>
      <c r="AD3" s="44">
        <v>44044</v>
      </c>
      <c r="AE3" s="44">
        <v>44075</v>
      </c>
      <c r="AF3" s="44">
        <v>44105</v>
      </c>
      <c r="AG3" s="44">
        <v>44136</v>
      </c>
      <c r="AH3" s="44">
        <v>44166</v>
      </c>
      <c r="AI3" s="44">
        <v>44197</v>
      </c>
      <c r="AJ3" s="44">
        <v>44228</v>
      </c>
      <c r="AK3" s="44">
        <v>44256</v>
      </c>
      <c r="AL3" s="44">
        <v>44287</v>
      </c>
      <c r="AM3" s="44">
        <v>44317</v>
      </c>
      <c r="AN3" s="44">
        <v>44348</v>
      </c>
      <c r="AO3" s="44">
        <v>44378</v>
      </c>
      <c r="AP3" s="44">
        <v>44409</v>
      </c>
      <c r="AQ3" s="44">
        <v>44440</v>
      </c>
      <c r="AR3" s="44">
        <v>44470</v>
      </c>
      <c r="AS3" s="44">
        <v>44501</v>
      </c>
      <c r="AT3" s="44">
        <v>44531</v>
      </c>
      <c r="AU3" s="44">
        <v>44835</v>
      </c>
      <c r="AV3" s="44">
        <v>44866</v>
      </c>
      <c r="AW3" s="44">
        <v>44896</v>
      </c>
      <c r="AX3" s="44">
        <v>44927</v>
      </c>
      <c r="AY3" s="44">
        <v>44958</v>
      </c>
      <c r="AZ3" s="44">
        <v>44986</v>
      </c>
      <c r="BA3" s="44">
        <v>45017</v>
      </c>
      <c r="BB3" s="44">
        <v>45047</v>
      </c>
      <c r="BC3" s="44">
        <v>45078</v>
      </c>
      <c r="BD3" s="44">
        <v>45108</v>
      </c>
      <c r="BE3" s="44">
        <v>45139</v>
      </c>
      <c r="BF3" s="44">
        <v>45170</v>
      </c>
      <c r="BG3" s="44">
        <v>45200</v>
      </c>
      <c r="BH3" s="44">
        <v>45231</v>
      </c>
      <c r="BI3" s="44">
        <v>45261</v>
      </c>
    </row>
    <row r="4" spans="1:63" x14ac:dyDescent="0.45">
      <c r="A4" s="45" t="s">
        <v>56</v>
      </c>
    </row>
    <row r="5" spans="1:63" x14ac:dyDescent="0.45">
      <c r="A5" t="s">
        <v>105</v>
      </c>
      <c r="B5" s="23">
        <f>+B6*1.21</f>
        <v>0</v>
      </c>
      <c r="C5" s="23">
        <f t="shared" ref="C5:AT5" si="0">+C6*1.21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32914</v>
      </c>
      <c r="L5" s="23">
        <f t="shared" si="0"/>
        <v>37616</v>
      </c>
      <c r="M5" s="23">
        <f t="shared" si="0"/>
        <v>42318.000000000007</v>
      </c>
      <c r="N5" s="23">
        <f t="shared" si="0"/>
        <v>47020</v>
      </c>
      <c r="O5" s="23">
        <f t="shared" si="0"/>
        <v>79934.000000000015</v>
      </c>
      <c r="P5" s="23">
        <f t="shared" si="0"/>
        <v>90278.399999999994</v>
      </c>
      <c r="Q5" s="23">
        <f t="shared" si="0"/>
        <v>100622.8</v>
      </c>
      <c r="R5" s="23">
        <f t="shared" si="0"/>
        <v>110967.2</v>
      </c>
      <c r="S5" s="23">
        <f t="shared" si="0"/>
        <v>154225.60000000001</v>
      </c>
      <c r="T5" s="23">
        <f t="shared" si="0"/>
        <v>173974</v>
      </c>
      <c r="U5" s="23">
        <f t="shared" si="0"/>
        <v>193722.4</v>
      </c>
      <c r="V5" s="23">
        <f t="shared" si="0"/>
        <v>216292.00000000003</v>
      </c>
      <c r="W5" s="23">
        <f t="shared" si="0"/>
        <v>244504</v>
      </c>
      <c r="X5" s="23">
        <f t="shared" si="0"/>
        <v>272716</v>
      </c>
      <c r="Y5" s="23">
        <f t="shared" si="0"/>
        <v>300928</v>
      </c>
      <c r="Z5" s="23">
        <f t="shared" si="0"/>
        <v>329140</v>
      </c>
      <c r="AA5" s="23">
        <f t="shared" si="0"/>
        <v>357352</v>
      </c>
      <c r="AB5" s="23">
        <f t="shared" si="0"/>
        <v>385564.00000000006</v>
      </c>
      <c r="AC5" s="23">
        <f t="shared" si="0"/>
        <v>404372</v>
      </c>
      <c r="AD5" s="23">
        <f t="shared" si="0"/>
        <v>423180</v>
      </c>
      <c r="AE5" s="23">
        <f t="shared" si="0"/>
        <v>451392</v>
      </c>
      <c r="AF5" s="23">
        <f t="shared" si="0"/>
        <v>479604.00000000006</v>
      </c>
      <c r="AG5" s="23">
        <f t="shared" si="0"/>
        <v>507816.00000000006</v>
      </c>
      <c r="AH5" s="23">
        <f t="shared" si="0"/>
        <v>536028</v>
      </c>
      <c r="AI5" s="23">
        <f t="shared" si="0"/>
        <v>568942</v>
      </c>
      <c r="AJ5" s="23">
        <f t="shared" si="0"/>
        <v>601856</v>
      </c>
      <c r="AK5" s="23">
        <f t="shared" si="0"/>
        <v>634770</v>
      </c>
      <c r="AL5" s="23">
        <f t="shared" si="0"/>
        <v>667684</v>
      </c>
      <c r="AM5" s="23">
        <f t="shared" si="0"/>
        <v>700598</v>
      </c>
      <c r="AN5" s="23">
        <f t="shared" si="0"/>
        <v>733512.00000000012</v>
      </c>
      <c r="AO5" s="23">
        <f t="shared" si="0"/>
        <v>757022</v>
      </c>
      <c r="AP5" s="23">
        <f t="shared" si="0"/>
        <v>780532</v>
      </c>
      <c r="AQ5" s="23">
        <f t="shared" si="0"/>
        <v>813446</v>
      </c>
      <c r="AR5" s="23">
        <f t="shared" si="0"/>
        <v>846360</v>
      </c>
      <c r="AS5" s="23">
        <f t="shared" si="0"/>
        <v>888678.00000000012</v>
      </c>
      <c r="AT5" s="23">
        <f t="shared" si="0"/>
        <v>940400</v>
      </c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</row>
    <row r="6" spans="1:63" x14ac:dyDescent="0.45">
      <c r="A6" t="s">
        <v>57</v>
      </c>
      <c r="B6" s="14">
        <f>+'P&amp;L Mensuel'!E4</f>
        <v>0</v>
      </c>
      <c r="C6" s="14">
        <f>+'P&amp;L Mensuel'!F4</f>
        <v>0</v>
      </c>
      <c r="D6" s="14">
        <f>+'P&amp;L Mensuel'!G4</f>
        <v>0</v>
      </c>
      <c r="E6" s="14">
        <f>+'P&amp;L Mensuel'!H4</f>
        <v>0</v>
      </c>
      <c r="F6" s="14">
        <f>+'P&amp;L Mensuel'!I4</f>
        <v>0</v>
      </c>
      <c r="G6" s="14">
        <f>+'P&amp;L Mensuel'!J4</f>
        <v>0</v>
      </c>
      <c r="H6" s="14">
        <f>+'P&amp;L Mensuel'!K4</f>
        <v>0</v>
      </c>
      <c r="I6" s="14">
        <f>+'P&amp;L Mensuel'!L4</f>
        <v>0</v>
      </c>
      <c r="J6" s="14">
        <f>+'P&amp;L Mensuel'!M4</f>
        <v>0</v>
      </c>
      <c r="K6" s="14">
        <f>+'P&amp;L Mensuel'!N4</f>
        <v>27201.652892561986</v>
      </c>
      <c r="L6" s="14">
        <f>+'P&amp;L Mensuel'!O4</f>
        <v>31087.603305785127</v>
      </c>
      <c r="M6" s="14">
        <f>+'P&amp;L Mensuel'!P4</f>
        <v>34973.553719008269</v>
      </c>
      <c r="N6" s="14">
        <f>+'P&amp;L Mensuel'!Q4</f>
        <v>38859.504132231406</v>
      </c>
      <c r="O6" s="14">
        <f>+'P&amp;L Mensuel'!R4</f>
        <v>66061.1570247934</v>
      </c>
      <c r="P6" s="14">
        <f>+'P&amp;L Mensuel'!S4</f>
        <v>74610.247933884297</v>
      </c>
      <c r="Q6" s="14">
        <f>+'P&amp;L Mensuel'!T4</f>
        <v>83159.338842975209</v>
      </c>
      <c r="R6" s="14">
        <f>+'P&amp;L Mensuel'!U4</f>
        <v>91708.42975206612</v>
      </c>
      <c r="S6" s="14">
        <f>+'P&amp;L Mensuel'!V4</f>
        <v>127459.17355371901</v>
      </c>
      <c r="T6" s="14">
        <f>+'P&amp;L Mensuel'!W4</f>
        <v>143780.1652892562</v>
      </c>
      <c r="U6" s="14">
        <f>+'P&amp;L Mensuel'!X4</f>
        <v>160101.15702479339</v>
      </c>
      <c r="V6" s="14">
        <f>+'P&amp;L Mensuel'!Y4</f>
        <v>178753.71900826448</v>
      </c>
      <c r="W6" s="14">
        <f>+'P&amp;L Mensuel'!Z4</f>
        <v>202069.42148760331</v>
      </c>
      <c r="X6" s="14">
        <f>+'P&amp;L Mensuel'!AA4</f>
        <v>225385.12396694216</v>
      </c>
      <c r="Y6" s="14">
        <f>+'P&amp;L Mensuel'!AB4</f>
        <v>248700.82644628102</v>
      </c>
      <c r="Z6" s="14">
        <f>+'P&amp;L Mensuel'!AC4</f>
        <v>272016.52892561984</v>
      </c>
      <c r="AA6" s="14">
        <f>+'P&amp;L Mensuel'!AD4</f>
        <v>295332.2314049587</v>
      </c>
      <c r="AB6" s="14">
        <f>+'P&amp;L Mensuel'!AE4</f>
        <v>318647.93388429756</v>
      </c>
      <c r="AC6" s="14">
        <f>+'P&amp;L Mensuel'!AF4</f>
        <v>334191.73553719011</v>
      </c>
      <c r="AD6" s="14">
        <f>+'P&amp;L Mensuel'!AG4</f>
        <v>349735.53719008266</v>
      </c>
      <c r="AE6" s="14">
        <f>+'P&amp;L Mensuel'!AH4</f>
        <v>373051.23966942151</v>
      </c>
      <c r="AF6" s="14">
        <f>+'P&amp;L Mensuel'!AI4</f>
        <v>396366.94214876037</v>
      </c>
      <c r="AG6" s="14">
        <f>+'P&amp;L Mensuel'!AJ4</f>
        <v>419682.64462809922</v>
      </c>
      <c r="AH6" s="14">
        <f>+'P&amp;L Mensuel'!AK4</f>
        <v>442998.34710743802</v>
      </c>
      <c r="AI6" s="14">
        <f>+'P&amp;L Mensuel'!AL4</f>
        <v>470200.00000000006</v>
      </c>
      <c r="AJ6" s="14">
        <f>+'P&amp;L Mensuel'!AM4</f>
        <v>497401.65289256204</v>
      </c>
      <c r="AK6" s="14">
        <f>+'P&amp;L Mensuel'!AN4</f>
        <v>524603.30578512396</v>
      </c>
      <c r="AL6" s="14">
        <f>+'P&amp;L Mensuel'!AO4</f>
        <v>551804.95867768594</v>
      </c>
      <c r="AM6" s="14">
        <f>+'P&amp;L Mensuel'!AP4</f>
        <v>579006.61157024791</v>
      </c>
      <c r="AN6" s="14">
        <f>+'P&amp;L Mensuel'!AQ4</f>
        <v>606208.26446281001</v>
      </c>
      <c r="AO6" s="14">
        <f>+'P&amp;L Mensuel'!AR4</f>
        <v>625638.01652892563</v>
      </c>
      <c r="AP6" s="14">
        <f>+'P&amp;L Mensuel'!AS4</f>
        <v>645067.76859504136</v>
      </c>
      <c r="AQ6" s="14">
        <f>+'P&amp;L Mensuel'!AT4</f>
        <v>672269.42148760334</v>
      </c>
      <c r="AR6" s="14">
        <f>+'P&amp;L Mensuel'!AU4</f>
        <v>699471.07438016532</v>
      </c>
      <c r="AS6" s="14">
        <f>+'P&amp;L Mensuel'!AV4</f>
        <v>734444.62809917366</v>
      </c>
      <c r="AT6" s="14">
        <f>+'P&amp;L Mensuel'!AW4</f>
        <v>777190.08264462813</v>
      </c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</row>
    <row r="7" spans="1:63" x14ac:dyDescent="0.45">
      <c r="A7" s="46" t="s">
        <v>58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</row>
    <row r="8" spans="1:63" x14ac:dyDescent="0.45">
      <c r="A8" t="s">
        <v>59</v>
      </c>
      <c r="B8" s="14"/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</row>
    <row r="9" spans="1:63" x14ac:dyDescent="0.4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</row>
    <row r="10" spans="1:63" s="46" customFormat="1" x14ac:dyDescent="0.45">
      <c r="A10" s="47" t="s">
        <v>60</v>
      </c>
      <c r="B10" s="48">
        <f t="shared" ref="B10:AT10" si="1">-B11-B14-B15+IF(B17&lt;0,B17,0)-B20-B22</f>
        <v>0</v>
      </c>
      <c r="C10" s="48">
        <f t="shared" si="1"/>
        <v>-2516.8000000000002</v>
      </c>
      <c r="D10" s="48">
        <f t="shared" si="1"/>
        <v>-9610</v>
      </c>
      <c r="E10" s="48">
        <f t="shared" si="1"/>
        <v>-64270.377933884294</v>
      </c>
      <c r="F10" s="48">
        <f t="shared" si="1"/>
        <v>-19180.400000000001</v>
      </c>
      <c r="G10" s="48">
        <f t="shared" si="1"/>
        <v>-34886.724999999999</v>
      </c>
      <c r="H10" s="48">
        <f t="shared" si="1"/>
        <v>-11596.73</v>
      </c>
      <c r="I10" s="48">
        <f t="shared" si="1"/>
        <v>-75218.399999999994</v>
      </c>
      <c r="J10" s="48">
        <f t="shared" si="1"/>
        <v>-24525.170833333334</v>
      </c>
      <c r="K10" s="48">
        <f t="shared" si="1"/>
        <v>-147354.17083333334</v>
      </c>
      <c r="L10" s="48">
        <f t="shared" si="1"/>
        <v>-81654.170833333323</v>
      </c>
      <c r="M10" s="48">
        <f t="shared" si="1"/>
        <v>-41739.360915977959</v>
      </c>
      <c r="N10" s="48">
        <f t="shared" si="1"/>
        <v>-74867.712499999994</v>
      </c>
      <c r="O10" s="48">
        <f t="shared" si="1"/>
        <v>-75467.712499999994</v>
      </c>
      <c r="P10" s="48">
        <f>-P11-P14-P15+IF(P17&lt;0,P17,0)-P20-P22</f>
        <v>-124269.2034090909</v>
      </c>
      <c r="Q10" s="48">
        <f t="shared" si="1"/>
        <v>-28127.712500000001</v>
      </c>
      <c r="R10" s="48">
        <f t="shared" si="1"/>
        <v>-28127.712500000001</v>
      </c>
      <c r="S10" s="48">
        <f t="shared" si="1"/>
        <v>-95223.141184573004</v>
      </c>
      <c r="T10" s="48">
        <f>-T11-T14-T15+IF(T17&lt;0,T17,0)-T20-T22</f>
        <v>-47834.483333333337</v>
      </c>
      <c r="U10" s="48">
        <f t="shared" si="1"/>
        <v>-89334.483333333323</v>
      </c>
      <c r="V10" s="48">
        <f t="shared" si="1"/>
        <v>-135687.8420110193</v>
      </c>
      <c r="W10" s="48">
        <f>-W11-W14-W15+IF(W17&lt;0,W17,0)-W20-W22</f>
        <v>-40662.269791666666</v>
      </c>
      <c r="X10" s="48">
        <f t="shared" si="1"/>
        <v>-41412.269791666666</v>
      </c>
      <c r="Y10" s="48">
        <f t="shared" si="1"/>
        <v>-310104.89789084019</v>
      </c>
      <c r="Z10" s="48">
        <f t="shared" si="1"/>
        <v>-48112.269791666666</v>
      </c>
      <c r="AA10" s="48">
        <f t="shared" si="1"/>
        <v>-43612.269791666666</v>
      </c>
      <c r="AB10" s="48">
        <f t="shared" si="1"/>
        <v>-229671.57557679061</v>
      </c>
      <c r="AC10" s="48">
        <f t="shared" si="1"/>
        <v>-43612.269791666666</v>
      </c>
      <c r="AD10" s="48">
        <f t="shared" si="1"/>
        <v>-40512.269791666666</v>
      </c>
      <c r="AE10" s="48">
        <f t="shared" si="1"/>
        <v>-262477.75739497237</v>
      </c>
      <c r="AF10" s="48">
        <f t="shared" si="1"/>
        <v>-43612.269791666666</v>
      </c>
      <c r="AG10" s="48">
        <f t="shared" si="1"/>
        <v>-148612.26979166665</v>
      </c>
      <c r="AH10" s="48">
        <f t="shared" si="1"/>
        <v>-308012.33590736915</v>
      </c>
      <c r="AI10" s="48">
        <f t="shared" si="1"/>
        <v>-45319.515885416666</v>
      </c>
      <c r="AJ10" s="48">
        <f t="shared" si="1"/>
        <v>-46943.479361979174</v>
      </c>
      <c r="AK10" s="48">
        <f t="shared" si="1"/>
        <v>-485897.70306515251</v>
      </c>
      <c r="AL10" s="48">
        <f t="shared" si="1"/>
        <v>-53143.579595123709</v>
      </c>
      <c r="AM10" s="48">
        <f t="shared" si="1"/>
        <v>-48770.764982977409</v>
      </c>
      <c r="AN10" s="48">
        <f t="shared" si="1"/>
        <v>-414190.93122172297</v>
      </c>
      <c r="AO10" s="48">
        <f t="shared" si="1"/>
        <v>-50432.146910440737</v>
      </c>
      <c r="AP10" s="48">
        <f t="shared" si="1"/>
        <v>-47517.489317753956</v>
      </c>
      <c r="AQ10" s="48">
        <f t="shared" si="1"/>
        <v>-456248.18538571626</v>
      </c>
      <c r="AR10" s="48">
        <f t="shared" si="1"/>
        <v>-52550.471757205181</v>
      </c>
      <c r="AS10" s="48">
        <f t="shared" si="1"/>
        <v>-58299.363909921325</v>
      </c>
      <c r="AT10" s="48">
        <f t="shared" si="1"/>
        <v>-519002.93770325196</v>
      </c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</row>
    <row r="11" spans="1:63" x14ac:dyDescent="0.45">
      <c r="A11" t="s">
        <v>61</v>
      </c>
      <c r="B11" s="23">
        <f>B12+B13</f>
        <v>0</v>
      </c>
      <c r="C11" s="23">
        <f>+'P&amp;L Mensuel'!E43+'P&amp;L Mensuel'!E15+'P&amp;L Mensuel'!E92</f>
        <v>2516.8000000000002</v>
      </c>
      <c r="D11" s="23">
        <f>+'P&amp;L Mensuel'!F43+'P&amp;L Mensuel'!F15+'P&amp;L Mensuel'!F92</f>
        <v>9610</v>
      </c>
      <c r="E11" s="23">
        <f>+'P&amp;L Mensuel'!G43+'P&amp;L Mensuel'!G15+'P&amp;L Mensuel'!G92</f>
        <v>64270.377933884294</v>
      </c>
      <c r="F11" s="23">
        <f>+'P&amp;L Mensuel'!H43+'P&amp;L Mensuel'!H15+'P&amp;L Mensuel'!H92</f>
        <v>17180.400000000001</v>
      </c>
      <c r="G11" s="23">
        <f>+'P&amp;L Mensuel'!I43+'P&amp;L Mensuel'!I15+'P&amp;L Mensuel'!I92</f>
        <v>32886.724999999999</v>
      </c>
      <c r="H11" s="23">
        <f>+'P&amp;L Mensuel'!J43+'P&amp;L Mensuel'!J15+'P&amp;L Mensuel'!J92</f>
        <v>9596.73</v>
      </c>
      <c r="I11" s="23">
        <f>+'P&amp;L Mensuel'!K43+'P&amp;L Mensuel'!K15+'P&amp;L Mensuel'!K92</f>
        <v>71218.399999999994</v>
      </c>
      <c r="J11" s="23">
        <f>+'P&amp;L Mensuel'!L43+'P&amp;L Mensuel'!L15+'P&amp;L Mensuel'!L92</f>
        <v>15918.4</v>
      </c>
      <c r="K11" s="23">
        <f>+'P&amp;L Mensuel'!M43+'P&amp;L Mensuel'!M15+'P&amp;L Mensuel'!M92</f>
        <v>137997.4</v>
      </c>
      <c r="L11" s="23">
        <f>+'P&amp;L Mensuel'!N43+'P&amp;L Mensuel'!N15+'P&amp;L Mensuel'!N92</f>
        <v>72297.399999999994</v>
      </c>
      <c r="M11" s="23">
        <f>+'P&amp;L Mensuel'!O43+'P&amp;L Mensuel'!O15+'P&amp;L Mensuel'!O92</f>
        <v>12797.4</v>
      </c>
      <c r="N11" s="23">
        <f>+'P&amp;L Mensuel'!P43+'P&amp;L Mensuel'!P15+'P&amp;L Mensuel'!P92</f>
        <v>55547.4</v>
      </c>
      <c r="O11" s="23">
        <f>+'P&amp;L Mensuel'!Q43+'P&amp;L Mensuel'!Q15+'P&amp;L Mensuel'!Q92</f>
        <v>56147.4</v>
      </c>
      <c r="P11" s="23">
        <f>+'P&amp;L Mensuel'!R43+'P&amp;L Mensuel'!R15+'P&amp;L Mensuel'!R92</f>
        <v>67247.399999999994</v>
      </c>
      <c r="Q11" s="23">
        <f>+'P&amp;L Mensuel'!S43+'P&amp;L Mensuel'!S15+'P&amp;L Mensuel'!S92</f>
        <v>8807.4</v>
      </c>
      <c r="R11" s="23">
        <f>+'P&amp;L Mensuel'!T43+'P&amp;L Mensuel'!T15+'P&amp;L Mensuel'!T92</f>
        <v>8807.4</v>
      </c>
      <c r="S11" s="23">
        <f>+'P&amp;L Mensuel'!U43+'P&amp;L Mensuel'!U15+'P&amp;L Mensuel'!U92</f>
        <v>8807.4</v>
      </c>
      <c r="T11" s="23">
        <f>+'P&amp;L Mensuel'!V43+'P&amp;L Mensuel'!V15+'P&amp;L Mensuel'!V92</f>
        <v>24907.4</v>
      </c>
      <c r="U11" s="23">
        <f>+'P&amp;L Mensuel'!W43+'P&amp;L Mensuel'!W15+'P&amp;L Mensuel'!W92</f>
        <v>66407.399999999994</v>
      </c>
      <c r="V11" s="23">
        <f>+'P&amp;L Mensuel'!X43+'P&amp;L Mensuel'!X15+'P&amp;L Mensuel'!X92</f>
        <v>11407.4</v>
      </c>
      <c r="W11" s="23">
        <f>+'P&amp;L Mensuel'!Y43+'P&amp;L Mensuel'!Y15+'P&amp;L Mensuel'!Y92</f>
        <v>11587.4</v>
      </c>
      <c r="X11" s="23">
        <f>+'P&amp;L Mensuel'!Z43+'P&amp;L Mensuel'!Z15+'P&amp;L Mensuel'!Z92</f>
        <v>12337.4</v>
      </c>
      <c r="Y11" s="23">
        <f>+'P&amp;L Mensuel'!AA43+'P&amp;L Mensuel'!AA15+'P&amp;L Mensuel'!AA92</f>
        <v>139037.4</v>
      </c>
      <c r="Z11" s="23">
        <f>+'P&amp;L Mensuel'!AB43+'P&amp;L Mensuel'!AB15+'P&amp;L Mensuel'!AB92</f>
        <v>19037.400000000001</v>
      </c>
      <c r="AA11" s="23">
        <f>+'P&amp;L Mensuel'!AC43+'P&amp;L Mensuel'!AC15+'P&amp;L Mensuel'!AC92</f>
        <v>14537.4</v>
      </c>
      <c r="AB11" s="23">
        <f>+'P&amp;L Mensuel'!AD43+'P&amp;L Mensuel'!AD15+'P&amp;L Mensuel'!AD92</f>
        <v>14537.4</v>
      </c>
      <c r="AC11" s="23">
        <f>+'P&amp;L Mensuel'!AE43+'P&amp;L Mensuel'!AE15+'P&amp;L Mensuel'!AE92</f>
        <v>14537.4</v>
      </c>
      <c r="AD11" s="23">
        <f>+'P&amp;L Mensuel'!AF43+'P&amp;L Mensuel'!AF15+'P&amp;L Mensuel'!AF92</f>
        <v>11437.4</v>
      </c>
      <c r="AE11" s="23">
        <f>+'P&amp;L Mensuel'!AG43+'P&amp;L Mensuel'!AG15+'P&amp;L Mensuel'!AG92</f>
        <v>11437.4</v>
      </c>
      <c r="AF11" s="23">
        <f>+'P&amp;L Mensuel'!AH43+'P&amp;L Mensuel'!AH15+'P&amp;L Mensuel'!AH92</f>
        <v>14537.4</v>
      </c>
      <c r="AG11" s="23">
        <f>+'P&amp;L Mensuel'!AI43+'P&amp;L Mensuel'!AI15+'P&amp;L Mensuel'!AI92</f>
        <v>119537.4</v>
      </c>
      <c r="AH11" s="23">
        <f>+'P&amp;L Mensuel'!AJ43+'P&amp;L Mensuel'!AJ15+'P&amp;L Mensuel'!AJ92</f>
        <v>14537.4</v>
      </c>
      <c r="AI11" s="23">
        <f>+'P&amp;L Mensuel'!AK43+'P&amp;L Mensuel'!AK15+'P&amp;L Mensuel'!AK92</f>
        <v>14537.4</v>
      </c>
      <c r="AJ11" s="23">
        <f>+'P&amp;L Mensuel'!AL43+'P&amp;L Mensuel'!AL15+'P&amp;L Mensuel'!AL92</f>
        <v>15587.4</v>
      </c>
      <c r="AK11" s="23">
        <f>+'P&amp;L Mensuel'!AM43+'P&amp;L Mensuel'!AM15+'P&amp;L Mensuel'!AM92</f>
        <v>140587.4</v>
      </c>
      <c r="AL11" s="23">
        <f>+'P&amp;L Mensuel'!AN43+'P&amp;L Mensuel'!AN15+'P&amp;L Mensuel'!AN92</f>
        <v>20587.400000000001</v>
      </c>
      <c r="AM11" s="23">
        <f>+'P&amp;L Mensuel'!AO43+'P&amp;L Mensuel'!AO15+'P&amp;L Mensuel'!AO92</f>
        <v>15587.4</v>
      </c>
      <c r="AN11" s="23">
        <f>+'P&amp;L Mensuel'!AP43+'P&amp;L Mensuel'!AP15+'P&amp;L Mensuel'!AP92</f>
        <v>15587.4</v>
      </c>
      <c r="AO11" s="23">
        <f>+'P&amp;L Mensuel'!AQ43+'P&amp;L Mensuel'!AQ15+'P&amp;L Mensuel'!AQ92</f>
        <v>15587.4</v>
      </c>
      <c r="AP11" s="23">
        <f>+'P&amp;L Mensuel'!AR43+'P&amp;L Mensuel'!AR15+'P&amp;L Mensuel'!AR92</f>
        <v>11987.4</v>
      </c>
      <c r="AQ11" s="23">
        <f>+'P&amp;L Mensuel'!AS43+'P&amp;L Mensuel'!AS15+'P&amp;L Mensuel'!AS92</f>
        <v>11987.4</v>
      </c>
      <c r="AR11" s="23">
        <f>+'P&amp;L Mensuel'!AT43+'P&amp;L Mensuel'!AT15+'P&amp;L Mensuel'!AT92</f>
        <v>15587.4</v>
      </c>
      <c r="AS11" s="23">
        <f>+'P&amp;L Mensuel'!AU43+'P&amp;L Mensuel'!AU15+'P&amp;L Mensuel'!AU92</f>
        <v>20587.400000000001</v>
      </c>
      <c r="AT11" s="23">
        <f>+'P&amp;L Mensuel'!AV43+'P&amp;L Mensuel'!AV15+'P&amp;L Mensuel'!AV92</f>
        <v>16187.4</v>
      </c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</row>
    <row r="12" spans="1:63" s="34" customFormat="1" ht="10.5" x14ac:dyDescent="0.35">
      <c r="A12" s="34" t="s">
        <v>62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0</v>
      </c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</row>
    <row r="13" spans="1:63" s="50" customFormat="1" ht="10.5" x14ac:dyDescent="0.35">
      <c r="A13" s="49" t="s">
        <v>63</v>
      </c>
      <c r="C13" s="50">
        <f>+C11</f>
        <v>2516.8000000000002</v>
      </c>
      <c r="D13" s="50">
        <f t="shared" ref="D13:AT13" si="2">+D11</f>
        <v>9610</v>
      </c>
      <c r="E13" s="50">
        <f t="shared" si="2"/>
        <v>64270.377933884294</v>
      </c>
      <c r="F13" s="50">
        <f t="shared" si="2"/>
        <v>17180.400000000001</v>
      </c>
      <c r="G13" s="50">
        <f t="shared" si="2"/>
        <v>32886.724999999999</v>
      </c>
      <c r="H13" s="50">
        <f t="shared" si="2"/>
        <v>9596.73</v>
      </c>
      <c r="I13" s="50">
        <f t="shared" si="2"/>
        <v>71218.399999999994</v>
      </c>
      <c r="J13" s="50">
        <f t="shared" si="2"/>
        <v>15918.4</v>
      </c>
      <c r="K13" s="50">
        <f t="shared" si="2"/>
        <v>137997.4</v>
      </c>
      <c r="L13" s="50">
        <f t="shared" si="2"/>
        <v>72297.399999999994</v>
      </c>
      <c r="M13" s="50">
        <f t="shared" si="2"/>
        <v>12797.4</v>
      </c>
      <c r="N13" s="50">
        <f t="shared" si="2"/>
        <v>55547.4</v>
      </c>
      <c r="O13" s="50">
        <f t="shared" si="2"/>
        <v>56147.4</v>
      </c>
      <c r="P13" s="50">
        <f t="shared" si="2"/>
        <v>67247.399999999994</v>
      </c>
      <c r="Q13" s="50">
        <f t="shared" si="2"/>
        <v>8807.4</v>
      </c>
      <c r="R13" s="50">
        <f t="shared" si="2"/>
        <v>8807.4</v>
      </c>
      <c r="S13" s="50">
        <f t="shared" si="2"/>
        <v>8807.4</v>
      </c>
      <c r="T13" s="50">
        <f t="shared" si="2"/>
        <v>24907.4</v>
      </c>
      <c r="U13" s="50">
        <f t="shared" si="2"/>
        <v>66407.399999999994</v>
      </c>
      <c r="V13" s="50">
        <f t="shared" si="2"/>
        <v>11407.4</v>
      </c>
      <c r="W13" s="50">
        <f t="shared" si="2"/>
        <v>11587.4</v>
      </c>
      <c r="X13" s="50">
        <f t="shared" si="2"/>
        <v>12337.4</v>
      </c>
      <c r="Y13" s="50">
        <f t="shared" si="2"/>
        <v>139037.4</v>
      </c>
      <c r="Z13" s="50">
        <f t="shared" si="2"/>
        <v>19037.400000000001</v>
      </c>
      <c r="AA13" s="50">
        <f t="shared" si="2"/>
        <v>14537.4</v>
      </c>
      <c r="AB13" s="50">
        <f t="shared" si="2"/>
        <v>14537.4</v>
      </c>
      <c r="AC13" s="50">
        <f t="shared" si="2"/>
        <v>14537.4</v>
      </c>
      <c r="AD13" s="50">
        <f t="shared" si="2"/>
        <v>11437.4</v>
      </c>
      <c r="AE13" s="50">
        <f t="shared" si="2"/>
        <v>11437.4</v>
      </c>
      <c r="AF13" s="50">
        <f t="shared" si="2"/>
        <v>14537.4</v>
      </c>
      <c r="AG13" s="50">
        <f t="shared" si="2"/>
        <v>119537.4</v>
      </c>
      <c r="AH13" s="50">
        <f t="shared" si="2"/>
        <v>14537.4</v>
      </c>
      <c r="AI13" s="50">
        <f t="shared" si="2"/>
        <v>14537.4</v>
      </c>
      <c r="AJ13" s="50">
        <f t="shared" si="2"/>
        <v>15587.4</v>
      </c>
      <c r="AK13" s="50">
        <f t="shared" si="2"/>
        <v>140587.4</v>
      </c>
      <c r="AL13" s="50">
        <f t="shared" si="2"/>
        <v>20587.400000000001</v>
      </c>
      <c r="AM13" s="50">
        <f t="shared" si="2"/>
        <v>15587.4</v>
      </c>
      <c r="AN13" s="50">
        <f t="shared" si="2"/>
        <v>15587.4</v>
      </c>
      <c r="AO13" s="50">
        <f t="shared" si="2"/>
        <v>15587.4</v>
      </c>
      <c r="AP13" s="50">
        <f t="shared" si="2"/>
        <v>11987.4</v>
      </c>
      <c r="AQ13" s="50">
        <f t="shared" si="2"/>
        <v>11987.4</v>
      </c>
      <c r="AR13" s="50">
        <f t="shared" si="2"/>
        <v>15587.4</v>
      </c>
      <c r="AS13" s="50">
        <f t="shared" si="2"/>
        <v>20587.400000000001</v>
      </c>
      <c r="AT13" s="50">
        <f t="shared" si="2"/>
        <v>16187.4</v>
      </c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</row>
    <row r="14" spans="1:63" x14ac:dyDescent="0.45">
      <c r="A14" t="s">
        <v>64</v>
      </c>
      <c r="B14" s="23">
        <f>+'P&amp;L Mensuel'!E68</f>
        <v>0</v>
      </c>
      <c r="C14" s="23">
        <f>+'P&amp;L Mensuel'!F68</f>
        <v>0</v>
      </c>
      <c r="D14" s="23">
        <f>+'P&amp;L Mensuel'!G68</f>
        <v>0</v>
      </c>
      <c r="E14" s="23">
        <f>+'P&amp;L Mensuel'!H68</f>
        <v>0</v>
      </c>
      <c r="F14" s="23">
        <f>+'P&amp;L Mensuel'!I68</f>
        <v>2000</v>
      </c>
      <c r="G14" s="23">
        <f>+'P&amp;L Mensuel'!J68</f>
        <v>2000</v>
      </c>
      <c r="H14" s="23">
        <f>+'P&amp;L Mensuel'!K68</f>
        <v>2000</v>
      </c>
      <c r="I14" s="23">
        <f>+'P&amp;L Mensuel'!L68</f>
        <v>4000</v>
      </c>
      <c r="J14" s="23">
        <f>+'P&amp;L Mensuel'!M68</f>
        <v>8606.7708333333339</v>
      </c>
      <c r="K14" s="23">
        <f>+'P&amp;L Mensuel'!N68</f>
        <v>9356.7708333333339</v>
      </c>
      <c r="L14" s="23">
        <f>+'P&amp;L Mensuel'!O68</f>
        <v>9356.7708333333339</v>
      </c>
      <c r="M14" s="23">
        <f>+'P&amp;L Mensuel'!P68</f>
        <v>9356.7708333333339</v>
      </c>
      <c r="N14" s="23">
        <f>+'P&amp;L Mensuel'!Q68</f>
        <v>19320.3125</v>
      </c>
      <c r="O14" s="23">
        <f>+'P&amp;L Mensuel'!R68</f>
        <v>19320.3125</v>
      </c>
      <c r="P14" s="23">
        <f>+'P&amp;L Mensuel'!S68</f>
        <v>19320.3125</v>
      </c>
      <c r="Q14" s="23">
        <f>+'P&amp;L Mensuel'!T68</f>
        <v>19320.3125</v>
      </c>
      <c r="R14" s="23">
        <f>+'P&amp;L Mensuel'!U68</f>
        <v>19320.3125</v>
      </c>
      <c r="S14" s="23">
        <f>+'P&amp;L Mensuel'!V68</f>
        <v>22927.083333333332</v>
      </c>
      <c r="T14" s="23">
        <f>+'P&amp;L Mensuel'!W68</f>
        <v>22927.083333333332</v>
      </c>
      <c r="U14" s="23">
        <f>+'P&amp;L Mensuel'!X68</f>
        <v>22927.083333333332</v>
      </c>
      <c r="V14" s="23">
        <f>+'P&amp;L Mensuel'!Y68</f>
        <v>22927.083333333332</v>
      </c>
      <c r="W14" s="23">
        <f>+'P&amp;L Mensuel'!Z68</f>
        <v>29074.869791666664</v>
      </c>
      <c r="X14" s="23">
        <f>+'P&amp;L Mensuel'!AA68</f>
        <v>29074.869791666664</v>
      </c>
      <c r="Y14" s="23">
        <f>+'P&amp;L Mensuel'!AB68</f>
        <v>29074.869791666664</v>
      </c>
      <c r="Z14" s="23">
        <f>+'P&amp;L Mensuel'!AC68</f>
        <v>29074.869791666664</v>
      </c>
      <c r="AA14" s="23">
        <f>+'P&amp;L Mensuel'!AD68</f>
        <v>29074.869791666664</v>
      </c>
      <c r="AB14" s="23">
        <f>+'P&amp;L Mensuel'!AE68</f>
        <v>29074.869791666664</v>
      </c>
      <c r="AC14" s="23">
        <f>+'P&amp;L Mensuel'!AF68</f>
        <v>29074.869791666664</v>
      </c>
      <c r="AD14" s="23">
        <f>+'P&amp;L Mensuel'!AG68</f>
        <v>29074.869791666664</v>
      </c>
      <c r="AE14" s="23">
        <f>+'P&amp;L Mensuel'!AH68</f>
        <v>29074.869791666664</v>
      </c>
      <c r="AF14" s="23">
        <f>+'P&amp;L Mensuel'!AI68</f>
        <v>29074.869791666664</v>
      </c>
      <c r="AG14" s="23">
        <f>+'P&amp;L Mensuel'!AJ68</f>
        <v>29074.869791666664</v>
      </c>
      <c r="AH14" s="23">
        <f>+'P&amp;L Mensuel'!AK68</f>
        <v>29074.869791666664</v>
      </c>
      <c r="AI14" s="23">
        <f>+'P&amp;L Mensuel'!AL68</f>
        <v>30782.115885416664</v>
      </c>
      <c r="AJ14" s="23">
        <f>+'P&amp;L Mensuel'!AM68</f>
        <v>31356.079361979173</v>
      </c>
      <c r="AK14" s="23">
        <f>+'P&amp;L Mensuel'!AN68</f>
        <v>31947.261742838546</v>
      </c>
      <c r="AL14" s="23">
        <f>+'P&amp;L Mensuel'!AO68</f>
        <v>32556.179595123704</v>
      </c>
      <c r="AM14" s="23">
        <f>+'P&amp;L Mensuel'!AP68</f>
        <v>33183.364982977408</v>
      </c>
      <c r="AN14" s="23">
        <f>+'P&amp;L Mensuel'!AQ68</f>
        <v>33829.365932466731</v>
      </c>
      <c r="AO14" s="23">
        <f>+'P&amp;L Mensuel'!AR68</f>
        <v>34844.746910440736</v>
      </c>
      <c r="AP14" s="23">
        <f>+'P&amp;L Mensuel'!AS68</f>
        <v>35530.089317753955</v>
      </c>
      <c r="AQ14" s="23">
        <f>+'P&amp;L Mensuel'!AT68</f>
        <v>36235.991997286583</v>
      </c>
      <c r="AR14" s="23">
        <f>+'P&amp;L Mensuel'!AU68</f>
        <v>36963.07175720518</v>
      </c>
      <c r="AS14" s="23">
        <f>+'P&amp;L Mensuel'!AV68</f>
        <v>37711.963909921324</v>
      </c>
      <c r="AT14" s="23">
        <f>+'P&amp;L Mensuel'!AW68</f>
        <v>38483.322827218966</v>
      </c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</row>
    <row r="15" spans="1:63" x14ac:dyDescent="0.4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</row>
    <row r="17" spans="1:61" s="53" customFormat="1" x14ac:dyDescent="0.45">
      <c r="A17" s="52" t="s">
        <v>65</v>
      </c>
      <c r="C17" s="53">
        <f>-B18</f>
        <v>0</v>
      </c>
      <c r="D17" s="53">
        <f t="shared" ref="D17:K17" si="3">-C18</f>
        <v>0</v>
      </c>
      <c r="E17" s="53">
        <f t="shared" si="3"/>
        <v>0</v>
      </c>
      <c r="F17" s="53">
        <f t="shared" si="3"/>
        <v>0</v>
      </c>
      <c r="G17" s="53">
        <f t="shared" si="3"/>
        <v>0</v>
      </c>
      <c r="H17" s="53">
        <f t="shared" si="3"/>
        <v>0</v>
      </c>
      <c r="I17" s="53">
        <f t="shared" si="3"/>
        <v>0</v>
      </c>
      <c r="J17" s="53">
        <f t="shared" si="3"/>
        <v>0</v>
      </c>
      <c r="K17" s="53">
        <f t="shared" si="3"/>
        <v>0</v>
      </c>
      <c r="M17" s="53">
        <f>-SUM(K18:M18)</f>
        <v>-19585.190082644625</v>
      </c>
      <c r="P17" s="53">
        <f>-SUM(N18:P18)</f>
        <v>-37701.490909090906</v>
      </c>
      <c r="S17" s="53">
        <f>-SUM(Q18:S18)</f>
        <v>-63488.657851239666</v>
      </c>
      <c r="V17" s="53">
        <f>-SUM(T18:V18)</f>
        <v>-101353.35867768596</v>
      </c>
      <c r="Y17" s="53">
        <f>-SUM(W18:Y18)</f>
        <v>-141992.62809917351</v>
      </c>
      <c r="AB17" s="53">
        <f>-SUM(Z18:AB18)</f>
        <v>-186059.30578512396</v>
      </c>
      <c r="AE17" s="53">
        <f>-SUM(AC18:AE18)</f>
        <v>-221965.48760330572</v>
      </c>
      <c r="AH17" s="53">
        <f>-SUM(AF18:AH18)</f>
        <v>-264400.0661157025</v>
      </c>
      <c r="AK17" s="53">
        <f>-SUM(AI18:AK18)</f>
        <v>-313363.04132231395</v>
      </c>
      <c r="AN17" s="53">
        <f>-SUM(AL18:AN18)</f>
        <v>-364774.16528925626</v>
      </c>
      <c r="AQ17" s="53">
        <f>-SUM(AO18:AQ18)</f>
        <v>-408024.79338842968</v>
      </c>
      <c r="AT17" s="53">
        <f>-SUM(AR18:AT18)</f>
        <v>-464332.21487603302</v>
      </c>
    </row>
    <row r="18" spans="1:61" s="14" customFormat="1" x14ac:dyDescent="0.45">
      <c r="A18" s="14" t="s">
        <v>66</v>
      </c>
      <c r="B18" s="14">
        <f t="shared" ref="B18:AT18" si="4">B19-B20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5712.3471074380141</v>
      </c>
      <c r="L18" s="14">
        <f t="shared" si="4"/>
        <v>6528.3966942148727</v>
      </c>
      <c r="M18" s="14">
        <f t="shared" si="4"/>
        <v>7344.4462809917386</v>
      </c>
      <c r="N18" s="14">
        <f t="shared" si="4"/>
        <v>8160.4958677685936</v>
      </c>
      <c r="O18" s="14">
        <f t="shared" si="4"/>
        <v>13872.842975206615</v>
      </c>
      <c r="P18" s="14">
        <f t="shared" si="4"/>
        <v>15668.152066115697</v>
      </c>
      <c r="Q18" s="14">
        <f t="shared" si="4"/>
        <v>17463.461157024794</v>
      </c>
      <c r="R18" s="14">
        <f t="shared" si="4"/>
        <v>19258.770247933877</v>
      </c>
      <c r="S18" s="14">
        <f t="shared" si="4"/>
        <v>26766.426446280995</v>
      </c>
      <c r="T18" s="14">
        <f t="shared" si="4"/>
        <v>30193.834710743802</v>
      </c>
      <c r="U18" s="14">
        <f t="shared" si="4"/>
        <v>33621.242975206609</v>
      </c>
      <c r="V18" s="14">
        <f t="shared" si="4"/>
        <v>37538.280991735548</v>
      </c>
      <c r="W18" s="14">
        <f t="shared" si="4"/>
        <v>42434.578512396693</v>
      </c>
      <c r="X18" s="14">
        <f t="shared" si="4"/>
        <v>47330.876033057837</v>
      </c>
      <c r="Y18" s="14">
        <f t="shared" si="4"/>
        <v>52227.173553718982</v>
      </c>
      <c r="Z18" s="14">
        <f t="shared" si="4"/>
        <v>57123.471074380155</v>
      </c>
      <c r="AA18" s="14">
        <f t="shared" si="4"/>
        <v>62019.7685950413</v>
      </c>
      <c r="AB18" s="14">
        <f t="shared" si="4"/>
        <v>66916.066115702502</v>
      </c>
      <c r="AC18" s="14">
        <f t="shared" si="4"/>
        <v>70180.264462809893</v>
      </c>
      <c r="AD18" s="14">
        <f t="shared" si="4"/>
        <v>73444.462809917342</v>
      </c>
      <c r="AE18" s="14">
        <f t="shared" si="4"/>
        <v>78340.760330578487</v>
      </c>
      <c r="AF18" s="14">
        <f t="shared" si="4"/>
        <v>83237.05785123969</v>
      </c>
      <c r="AG18" s="14">
        <f t="shared" si="4"/>
        <v>88133.355371900834</v>
      </c>
      <c r="AH18" s="14">
        <f t="shared" si="4"/>
        <v>93029.652892561979</v>
      </c>
      <c r="AI18" s="14">
        <f t="shared" si="4"/>
        <v>98741.999999999942</v>
      </c>
      <c r="AJ18" s="14">
        <f t="shared" si="4"/>
        <v>104454.34710743796</v>
      </c>
      <c r="AK18" s="14">
        <f t="shared" si="4"/>
        <v>110166.69421487604</v>
      </c>
      <c r="AL18" s="14">
        <f t="shared" si="4"/>
        <v>115879.04132231406</v>
      </c>
      <c r="AM18" s="14">
        <f t="shared" si="4"/>
        <v>121591.38842975209</v>
      </c>
      <c r="AN18" s="14">
        <f t="shared" si="4"/>
        <v>127303.73553719011</v>
      </c>
      <c r="AO18" s="14">
        <f t="shared" si="4"/>
        <v>131383.98347107437</v>
      </c>
      <c r="AP18" s="14">
        <f t="shared" si="4"/>
        <v>135464.23140495864</v>
      </c>
      <c r="AQ18" s="14">
        <f t="shared" si="4"/>
        <v>141176.57851239666</v>
      </c>
      <c r="AR18" s="14">
        <f t="shared" si="4"/>
        <v>146888.92561983468</v>
      </c>
      <c r="AS18" s="14">
        <f t="shared" si="4"/>
        <v>154233.37190082646</v>
      </c>
      <c r="AT18" s="14">
        <f t="shared" si="4"/>
        <v>163209.91735537187</v>
      </c>
    </row>
    <row r="19" spans="1:61" s="14" customFormat="1" x14ac:dyDescent="0.45">
      <c r="A19" s="14" t="s">
        <v>67</v>
      </c>
      <c r="B19" s="14">
        <f>+B5-B6</f>
        <v>0</v>
      </c>
      <c r="C19" s="14">
        <f t="shared" ref="C19:AT19" si="5">+C5-C6</f>
        <v>0</v>
      </c>
      <c r="D19" s="14">
        <f t="shared" si="5"/>
        <v>0</v>
      </c>
      <c r="E19" s="14">
        <f t="shared" si="5"/>
        <v>0</v>
      </c>
      <c r="F19" s="14">
        <f t="shared" si="5"/>
        <v>0</v>
      </c>
      <c r="G19" s="14">
        <f t="shared" si="5"/>
        <v>0</v>
      </c>
      <c r="H19" s="14">
        <f t="shared" si="5"/>
        <v>0</v>
      </c>
      <c r="I19" s="14">
        <f t="shared" si="5"/>
        <v>0</v>
      </c>
      <c r="J19" s="14">
        <f t="shared" si="5"/>
        <v>0</v>
      </c>
      <c r="K19" s="14">
        <f t="shared" si="5"/>
        <v>5712.3471074380141</v>
      </c>
      <c r="L19" s="14">
        <f t="shared" si="5"/>
        <v>6528.3966942148727</v>
      </c>
      <c r="M19" s="14">
        <f t="shared" si="5"/>
        <v>7344.4462809917386</v>
      </c>
      <c r="N19" s="14">
        <f t="shared" si="5"/>
        <v>8160.4958677685936</v>
      </c>
      <c r="O19" s="14">
        <f t="shared" si="5"/>
        <v>13872.842975206615</v>
      </c>
      <c r="P19" s="14">
        <f t="shared" si="5"/>
        <v>15668.152066115697</v>
      </c>
      <c r="Q19" s="14">
        <f t="shared" si="5"/>
        <v>17463.461157024794</v>
      </c>
      <c r="R19" s="14">
        <f t="shared" si="5"/>
        <v>19258.770247933877</v>
      </c>
      <c r="S19" s="14">
        <f t="shared" si="5"/>
        <v>26766.426446280995</v>
      </c>
      <c r="T19" s="14">
        <f t="shared" si="5"/>
        <v>30193.834710743802</v>
      </c>
      <c r="U19" s="14">
        <f t="shared" si="5"/>
        <v>33621.242975206609</v>
      </c>
      <c r="V19" s="14">
        <f t="shared" si="5"/>
        <v>37538.280991735548</v>
      </c>
      <c r="W19" s="14">
        <f t="shared" si="5"/>
        <v>42434.578512396693</v>
      </c>
      <c r="X19" s="14">
        <f t="shared" si="5"/>
        <v>47330.876033057837</v>
      </c>
      <c r="Y19" s="14">
        <f t="shared" si="5"/>
        <v>52227.173553718982</v>
      </c>
      <c r="Z19" s="14">
        <f t="shared" si="5"/>
        <v>57123.471074380155</v>
      </c>
      <c r="AA19" s="14">
        <f t="shared" si="5"/>
        <v>62019.7685950413</v>
      </c>
      <c r="AB19" s="14">
        <f t="shared" si="5"/>
        <v>66916.066115702502</v>
      </c>
      <c r="AC19" s="14">
        <f t="shared" si="5"/>
        <v>70180.264462809893</v>
      </c>
      <c r="AD19" s="14">
        <f t="shared" si="5"/>
        <v>73444.462809917342</v>
      </c>
      <c r="AE19" s="14">
        <f t="shared" si="5"/>
        <v>78340.760330578487</v>
      </c>
      <c r="AF19" s="14">
        <f t="shared" si="5"/>
        <v>83237.05785123969</v>
      </c>
      <c r="AG19" s="14">
        <f t="shared" si="5"/>
        <v>88133.355371900834</v>
      </c>
      <c r="AH19" s="14">
        <f t="shared" si="5"/>
        <v>93029.652892561979</v>
      </c>
      <c r="AI19" s="14">
        <f t="shared" si="5"/>
        <v>98741.999999999942</v>
      </c>
      <c r="AJ19" s="14">
        <f t="shared" si="5"/>
        <v>104454.34710743796</v>
      </c>
      <c r="AK19" s="14">
        <f t="shared" si="5"/>
        <v>110166.69421487604</v>
      </c>
      <c r="AL19" s="14">
        <f t="shared" si="5"/>
        <v>115879.04132231406</v>
      </c>
      <c r="AM19" s="14">
        <f t="shared" si="5"/>
        <v>121591.38842975209</v>
      </c>
      <c r="AN19" s="14">
        <f t="shared" si="5"/>
        <v>127303.73553719011</v>
      </c>
      <c r="AO19" s="14">
        <f t="shared" si="5"/>
        <v>131383.98347107437</v>
      </c>
      <c r="AP19" s="14">
        <f t="shared" si="5"/>
        <v>135464.23140495864</v>
      </c>
      <c r="AQ19" s="14">
        <f t="shared" si="5"/>
        <v>141176.57851239666</v>
      </c>
      <c r="AR19" s="14">
        <f t="shared" si="5"/>
        <v>146888.92561983468</v>
      </c>
      <c r="AS19" s="14">
        <f t="shared" si="5"/>
        <v>154233.37190082646</v>
      </c>
      <c r="AT19" s="14">
        <f t="shared" si="5"/>
        <v>163209.91735537187</v>
      </c>
    </row>
    <row r="20" spans="1:61" s="14" customFormat="1" x14ac:dyDescent="0.45">
      <c r="A20" s="14" t="s">
        <v>68</v>
      </c>
      <c r="B20" s="14">
        <v>0</v>
      </c>
    </row>
    <row r="21" spans="1:61" s="14" customFormat="1" x14ac:dyDescent="0.45"/>
    <row r="22" spans="1:61" s="14" customFormat="1" x14ac:dyDescent="0.45">
      <c r="A22" s="14" t="s">
        <v>69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P22" s="14">
        <v>0</v>
      </c>
      <c r="S22" s="14">
        <v>0</v>
      </c>
      <c r="V22" s="14">
        <v>0</v>
      </c>
      <c r="Y22" s="14">
        <v>0</v>
      </c>
      <c r="AB22" s="14">
        <v>0</v>
      </c>
      <c r="AE22" s="14">
        <v>0</v>
      </c>
      <c r="AH22" s="14">
        <v>0</v>
      </c>
      <c r="AK22" s="14">
        <v>0</v>
      </c>
      <c r="AN22" s="14">
        <v>0</v>
      </c>
      <c r="AQ22" s="14">
        <v>0</v>
      </c>
      <c r="AT22" s="14">
        <v>0</v>
      </c>
    </row>
    <row r="24" spans="1:61" ht="25.5" x14ac:dyDescent="0.75">
      <c r="A24" s="54" t="s">
        <v>70</v>
      </c>
      <c r="B24" s="54">
        <f>B5+B10</f>
        <v>0</v>
      </c>
      <c r="C24" s="54">
        <f t="shared" ref="C24:BI24" si="6">C5+C10</f>
        <v>-2516.8000000000002</v>
      </c>
      <c r="D24" s="54">
        <f>D5+D10</f>
        <v>-9610</v>
      </c>
      <c r="E24" s="54">
        <f t="shared" si="6"/>
        <v>-64270.377933884294</v>
      </c>
      <c r="F24" s="54">
        <f t="shared" si="6"/>
        <v>-19180.400000000001</v>
      </c>
      <c r="G24" s="54">
        <f t="shared" si="6"/>
        <v>-34886.724999999999</v>
      </c>
      <c r="H24" s="54">
        <f t="shared" si="6"/>
        <v>-11596.73</v>
      </c>
      <c r="I24" s="54">
        <f t="shared" si="6"/>
        <v>-75218.399999999994</v>
      </c>
      <c r="J24" s="54">
        <f t="shared" si="6"/>
        <v>-24525.170833333334</v>
      </c>
      <c r="K24" s="54">
        <f t="shared" si="6"/>
        <v>-114440.17083333334</v>
      </c>
      <c r="L24" s="54">
        <f t="shared" si="6"/>
        <v>-44038.170833333323</v>
      </c>
      <c r="M24" s="54">
        <f t="shared" si="6"/>
        <v>578.63908402204834</v>
      </c>
      <c r="N24" s="54">
        <f t="shared" si="6"/>
        <v>-27847.712499999994</v>
      </c>
      <c r="O24" s="54">
        <f>O5+O10</f>
        <v>4466.2875000000204</v>
      </c>
      <c r="P24" s="54">
        <f t="shared" si="6"/>
        <v>-33990.803409090906</v>
      </c>
      <c r="Q24" s="54">
        <f t="shared" si="6"/>
        <v>72495.087499999994</v>
      </c>
      <c r="R24" s="54">
        <f t="shared" si="6"/>
        <v>82839.487499999988</v>
      </c>
      <c r="S24" s="54">
        <f t="shared" si="6"/>
        <v>59002.458815427002</v>
      </c>
      <c r="T24" s="54">
        <f t="shared" si="6"/>
        <v>126139.51666666666</v>
      </c>
      <c r="U24" s="54">
        <f t="shared" si="6"/>
        <v>104387.91666666667</v>
      </c>
      <c r="V24" s="54">
        <f t="shared" si="6"/>
        <v>80604.157988980733</v>
      </c>
      <c r="W24" s="54">
        <f t="shared" si="6"/>
        <v>203841.73020833335</v>
      </c>
      <c r="X24" s="54">
        <f t="shared" si="6"/>
        <v>231303.73020833335</v>
      </c>
      <c r="Y24" s="54">
        <f>Y5+Y10</f>
        <v>-9176.8978908401914</v>
      </c>
      <c r="Z24" s="54">
        <f t="shared" si="6"/>
        <v>281027.73020833335</v>
      </c>
      <c r="AA24" s="54">
        <f t="shared" si="6"/>
        <v>313739.73020833335</v>
      </c>
      <c r="AB24" s="54">
        <f t="shared" si="6"/>
        <v>155892.42442320945</v>
      </c>
      <c r="AC24" s="54">
        <f t="shared" si="6"/>
        <v>360759.73020833335</v>
      </c>
      <c r="AD24" s="54">
        <f t="shared" si="6"/>
        <v>382667.73020833335</v>
      </c>
      <c r="AE24" s="54">
        <f t="shared" si="6"/>
        <v>188914.24260502763</v>
      </c>
      <c r="AF24" s="54">
        <f t="shared" si="6"/>
        <v>435991.73020833341</v>
      </c>
      <c r="AG24" s="54">
        <f t="shared" si="6"/>
        <v>359203.73020833341</v>
      </c>
      <c r="AH24" s="54">
        <f t="shared" si="6"/>
        <v>228015.66409263085</v>
      </c>
      <c r="AI24" s="54">
        <f t="shared" si="6"/>
        <v>523622.48411458335</v>
      </c>
      <c r="AJ24" s="54">
        <f t="shared" si="6"/>
        <v>554912.52063802083</v>
      </c>
      <c r="AK24" s="54">
        <f t="shared" si="6"/>
        <v>148872.29693484749</v>
      </c>
      <c r="AL24" s="54">
        <f t="shared" si="6"/>
        <v>614540.42040487635</v>
      </c>
      <c r="AM24" s="54">
        <f t="shared" si="6"/>
        <v>651827.23501702258</v>
      </c>
      <c r="AN24" s="54">
        <f t="shared" si="6"/>
        <v>319321.06877827714</v>
      </c>
      <c r="AO24" s="54">
        <f t="shared" si="6"/>
        <v>706589.85308955924</v>
      </c>
      <c r="AP24" s="54">
        <f t="shared" si="6"/>
        <v>733014.51068224607</v>
      </c>
      <c r="AQ24" s="54">
        <f t="shared" si="6"/>
        <v>357197.81461428374</v>
      </c>
      <c r="AR24" s="54">
        <f t="shared" si="6"/>
        <v>793809.5282427948</v>
      </c>
      <c r="AS24" s="54">
        <f t="shared" si="6"/>
        <v>830378.63609007874</v>
      </c>
      <c r="AT24" s="54">
        <f t="shared" si="6"/>
        <v>421397.06229674804</v>
      </c>
      <c r="AU24" s="54">
        <f t="shared" si="6"/>
        <v>0</v>
      </c>
      <c r="AV24" s="54">
        <f t="shared" si="6"/>
        <v>0</v>
      </c>
      <c r="AW24" s="54">
        <f t="shared" si="6"/>
        <v>0</v>
      </c>
      <c r="AX24" s="54">
        <f t="shared" si="6"/>
        <v>0</v>
      </c>
      <c r="AY24" s="54">
        <f t="shared" si="6"/>
        <v>0</v>
      </c>
      <c r="AZ24" s="54">
        <f t="shared" si="6"/>
        <v>0</v>
      </c>
      <c r="BA24" s="54">
        <f t="shared" si="6"/>
        <v>0</v>
      </c>
      <c r="BB24" s="54">
        <f t="shared" si="6"/>
        <v>0</v>
      </c>
      <c r="BC24" s="54">
        <f t="shared" si="6"/>
        <v>0</v>
      </c>
      <c r="BD24" s="54">
        <f t="shared" si="6"/>
        <v>0</v>
      </c>
      <c r="BE24" s="54">
        <f t="shared" si="6"/>
        <v>0</v>
      </c>
      <c r="BF24" s="54">
        <f t="shared" si="6"/>
        <v>0</v>
      </c>
      <c r="BG24" s="54">
        <f t="shared" si="6"/>
        <v>0</v>
      </c>
      <c r="BH24" s="54">
        <f t="shared" si="6"/>
        <v>0</v>
      </c>
      <c r="BI24" s="54">
        <f t="shared" si="6"/>
        <v>0</v>
      </c>
    </row>
    <row r="26" spans="1:61" ht="25.5" x14ac:dyDescent="0.75">
      <c r="A26" s="54" t="s">
        <v>71</v>
      </c>
      <c r="B26" s="54">
        <f>-(+B27)</f>
        <v>0</v>
      </c>
      <c r="C26" s="54">
        <f t="shared" ref="C26:BI26" si="7">-(+C27)</f>
        <v>0</v>
      </c>
      <c r="D26" s="54">
        <f t="shared" si="7"/>
        <v>0</v>
      </c>
      <c r="E26" s="54">
        <f t="shared" si="7"/>
        <v>0</v>
      </c>
      <c r="F26" s="54">
        <f t="shared" si="7"/>
        <v>0</v>
      </c>
      <c r="G26" s="54">
        <f t="shared" si="7"/>
        <v>0</v>
      </c>
      <c r="H26" s="54">
        <f t="shared" si="7"/>
        <v>0</v>
      </c>
      <c r="I26" s="54">
        <f t="shared" si="7"/>
        <v>0</v>
      </c>
      <c r="J26" s="54">
        <f t="shared" si="7"/>
        <v>0</v>
      </c>
      <c r="K26" s="54">
        <f t="shared" si="7"/>
        <v>0</v>
      </c>
      <c r="L26" s="54">
        <f t="shared" si="7"/>
        <v>0</v>
      </c>
      <c r="M26" s="54">
        <f t="shared" si="7"/>
        <v>0</v>
      </c>
      <c r="N26" s="54">
        <f t="shared" si="7"/>
        <v>0</v>
      </c>
      <c r="O26" s="54">
        <f t="shared" si="7"/>
        <v>0</v>
      </c>
      <c r="P26" s="54">
        <f t="shared" si="7"/>
        <v>0</v>
      </c>
      <c r="Q26" s="54">
        <f t="shared" si="7"/>
        <v>0</v>
      </c>
      <c r="R26" s="54">
        <f t="shared" si="7"/>
        <v>0</v>
      </c>
      <c r="S26" s="54">
        <f t="shared" si="7"/>
        <v>0</v>
      </c>
      <c r="T26" s="54">
        <f t="shared" si="7"/>
        <v>0</v>
      </c>
      <c r="U26" s="54">
        <f t="shared" si="7"/>
        <v>0</v>
      </c>
      <c r="V26" s="54">
        <f t="shared" si="7"/>
        <v>0</v>
      </c>
      <c r="W26" s="54">
        <f t="shared" si="7"/>
        <v>0</v>
      </c>
      <c r="X26" s="54">
        <f t="shared" si="7"/>
        <v>0</v>
      </c>
      <c r="Y26" s="54">
        <f t="shared" si="7"/>
        <v>0</v>
      </c>
      <c r="Z26" s="54">
        <f t="shared" si="7"/>
        <v>0</v>
      </c>
      <c r="AA26" s="54">
        <f t="shared" si="7"/>
        <v>0</v>
      </c>
      <c r="AB26" s="54">
        <f t="shared" si="7"/>
        <v>0</v>
      </c>
      <c r="AC26" s="54">
        <f t="shared" si="7"/>
        <v>0</v>
      </c>
      <c r="AD26" s="54">
        <f t="shared" si="7"/>
        <v>0</v>
      </c>
      <c r="AE26" s="54">
        <f t="shared" si="7"/>
        <v>0</v>
      </c>
      <c r="AF26" s="54">
        <f t="shared" si="7"/>
        <v>0</v>
      </c>
      <c r="AG26" s="54">
        <f t="shared" si="7"/>
        <v>0</v>
      </c>
      <c r="AH26" s="54">
        <f t="shared" si="7"/>
        <v>0</v>
      </c>
      <c r="AI26" s="54">
        <f t="shared" si="7"/>
        <v>0</v>
      </c>
      <c r="AJ26" s="54">
        <f t="shared" si="7"/>
        <v>0</v>
      </c>
      <c r="AK26" s="54">
        <f t="shared" si="7"/>
        <v>0</v>
      </c>
      <c r="AL26" s="54">
        <f t="shared" si="7"/>
        <v>0</v>
      </c>
      <c r="AM26" s="54">
        <f t="shared" si="7"/>
        <v>0</v>
      </c>
      <c r="AN26" s="54">
        <f t="shared" si="7"/>
        <v>0</v>
      </c>
      <c r="AO26" s="54">
        <f t="shared" si="7"/>
        <v>0</v>
      </c>
      <c r="AP26" s="54">
        <f t="shared" si="7"/>
        <v>0</v>
      </c>
      <c r="AQ26" s="54">
        <f t="shared" si="7"/>
        <v>0</v>
      </c>
      <c r="AR26" s="54">
        <f t="shared" si="7"/>
        <v>0</v>
      </c>
      <c r="AS26" s="54">
        <f t="shared" si="7"/>
        <v>0</v>
      </c>
      <c r="AT26" s="54">
        <f t="shared" si="7"/>
        <v>0</v>
      </c>
      <c r="AU26" s="54">
        <f t="shared" si="7"/>
        <v>0</v>
      </c>
      <c r="AV26" s="54">
        <f t="shared" si="7"/>
        <v>0</v>
      </c>
      <c r="AW26" s="54">
        <f t="shared" si="7"/>
        <v>0</v>
      </c>
      <c r="AX26" s="54">
        <f t="shared" si="7"/>
        <v>0</v>
      </c>
      <c r="AY26" s="54">
        <f t="shared" si="7"/>
        <v>0</v>
      </c>
      <c r="AZ26" s="54">
        <f t="shared" si="7"/>
        <v>0</v>
      </c>
      <c r="BA26" s="54">
        <f t="shared" si="7"/>
        <v>0</v>
      </c>
      <c r="BB26" s="54">
        <f t="shared" si="7"/>
        <v>0</v>
      </c>
      <c r="BC26" s="54">
        <f t="shared" si="7"/>
        <v>0</v>
      </c>
      <c r="BD26" s="54">
        <f t="shared" si="7"/>
        <v>0</v>
      </c>
      <c r="BE26" s="54">
        <f t="shared" si="7"/>
        <v>0</v>
      </c>
      <c r="BF26" s="54">
        <f t="shared" si="7"/>
        <v>0</v>
      </c>
      <c r="BG26" s="54">
        <f t="shared" si="7"/>
        <v>0</v>
      </c>
      <c r="BH26" s="54">
        <f t="shared" si="7"/>
        <v>0</v>
      </c>
      <c r="BI26" s="54">
        <f t="shared" si="7"/>
        <v>0</v>
      </c>
    </row>
    <row r="27" spans="1:61" x14ac:dyDescent="0.45">
      <c r="A27" t="s">
        <v>72</v>
      </c>
      <c r="B27">
        <v>0</v>
      </c>
      <c r="C27">
        <v>0</v>
      </c>
      <c r="D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</row>
    <row r="28" spans="1:61" ht="25.5" x14ac:dyDescent="0.75">
      <c r="A28" s="54" t="s">
        <v>73</v>
      </c>
      <c r="B28" s="54">
        <f t="shared" ref="B28:AG28" si="8">SUM(B29:B38)</f>
        <v>6200</v>
      </c>
      <c r="C28" s="54">
        <f t="shared" si="8"/>
        <v>0</v>
      </c>
      <c r="D28" s="54">
        <f t="shared" si="8"/>
        <v>115000</v>
      </c>
      <c r="E28" s="54">
        <f t="shared" si="8"/>
        <v>0</v>
      </c>
      <c r="F28" s="54">
        <f t="shared" si="8"/>
        <v>0</v>
      </c>
      <c r="G28" s="54">
        <f t="shared" si="8"/>
        <v>0</v>
      </c>
      <c r="H28" s="54">
        <f t="shared" si="8"/>
        <v>100000</v>
      </c>
      <c r="I28" s="54">
        <f t="shared" si="8"/>
        <v>0</v>
      </c>
      <c r="J28" s="54">
        <f t="shared" si="8"/>
        <v>80000</v>
      </c>
      <c r="K28" s="54">
        <f t="shared" si="8"/>
        <v>250000</v>
      </c>
      <c r="L28" s="54">
        <f t="shared" si="8"/>
        <v>0</v>
      </c>
      <c r="M28" s="54">
        <f t="shared" si="8"/>
        <v>0</v>
      </c>
      <c r="N28" s="54">
        <f t="shared" si="8"/>
        <v>-80000</v>
      </c>
      <c r="O28" s="54">
        <f t="shared" si="8"/>
        <v>0</v>
      </c>
      <c r="P28" s="54">
        <f t="shared" si="8"/>
        <v>0</v>
      </c>
      <c r="Q28" s="54">
        <f t="shared" si="8"/>
        <v>0</v>
      </c>
      <c r="R28" s="54">
        <f t="shared" si="8"/>
        <v>0</v>
      </c>
      <c r="S28" s="54">
        <f t="shared" si="8"/>
        <v>0</v>
      </c>
      <c r="T28" s="54">
        <f t="shared" si="8"/>
        <v>0</v>
      </c>
      <c r="U28" s="54">
        <f t="shared" si="8"/>
        <v>0</v>
      </c>
      <c r="V28" s="54">
        <f t="shared" si="8"/>
        <v>0</v>
      </c>
      <c r="W28" s="54">
        <f t="shared" si="8"/>
        <v>0</v>
      </c>
      <c r="X28" s="54">
        <f t="shared" si="8"/>
        <v>0</v>
      </c>
      <c r="Y28" s="54">
        <f t="shared" si="8"/>
        <v>0</v>
      </c>
      <c r="Z28" s="54">
        <f t="shared" si="8"/>
        <v>0</v>
      </c>
      <c r="AA28" s="54">
        <f t="shared" si="8"/>
        <v>0</v>
      </c>
      <c r="AB28" s="54">
        <f t="shared" si="8"/>
        <v>0</v>
      </c>
      <c r="AC28" s="54">
        <f t="shared" si="8"/>
        <v>0</v>
      </c>
      <c r="AD28" s="54">
        <f t="shared" si="8"/>
        <v>0</v>
      </c>
      <c r="AE28" s="54">
        <f t="shared" si="8"/>
        <v>0</v>
      </c>
      <c r="AF28" s="54">
        <f t="shared" si="8"/>
        <v>0</v>
      </c>
      <c r="AG28" s="54">
        <f t="shared" si="8"/>
        <v>0</v>
      </c>
      <c r="AH28" s="54">
        <f t="shared" ref="AH28:BI28" si="9">SUM(AH29:AH38)</f>
        <v>0</v>
      </c>
      <c r="AI28" s="54">
        <f t="shared" si="9"/>
        <v>0</v>
      </c>
      <c r="AJ28" s="54">
        <f t="shared" si="9"/>
        <v>0</v>
      </c>
      <c r="AK28" s="54">
        <f t="shared" si="9"/>
        <v>0</v>
      </c>
      <c r="AL28" s="54">
        <f t="shared" si="9"/>
        <v>0</v>
      </c>
      <c r="AM28" s="54">
        <f t="shared" si="9"/>
        <v>0</v>
      </c>
      <c r="AN28" s="54">
        <f t="shared" si="9"/>
        <v>0</v>
      </c>
      <c r="AO28" s="54">
        <f t="shared" si="9"/>
        <v>0</v>
      </c>
      <c r="AP28" s="54">
        <f t="shared" si="9"/>
        <v>0</v>
      </c>
      <c r="AQ28" s="54">
        <f t="shared" si="9"/>
        <v>0</v>
      </c>
      <c r="AR28" s="54">
        <f t="shared" si="9"/>
        <v>0</v>
      </c>
      <c r="AS28" s="54">
        <f t="shared" si="9"/>
        <v>0</v>
      </c>
      <c r="AT28" s="54">
        <f t="shared" si="9"/>
        <v>0</v>
      </c>
      <c r="AU28" s="54">
        <f t="shared" si="9"/>
        <v>0</v>
      </c>
      <c r="AV28" s="54">
        <f t="shared" si="9"/>
        <v>0</v>
      </c>
      <c r="AW28" s="54">
        <f t="shared" si="9"/>
        <v>0</v>
      </c>
      <c r="AX28" s="54">
        <f t="shared" si="9"/>
        <v>0</v>
      </c>
      <c r="AY28" s="54">
        <f t="shared" si="9"/>
        <v>0</v>
      </c>
      <c r="AZ28" s="54">
        <f t="shared" si="9"/>
        <v>0</v>
      </c>
      <c r="BA28" s="54">
        <f t="shared" si="9"/>
        <v>0</v>
      </c>
      <c r="BB28" s="54">
        <f t="shared" si="9"/>
        <v>0</v>
      </c>
      <c r="BC28" s="54">
        <f t="shared" si="9"/>
        <v>0</v>
      </c>
      <c r="BD28" s="54">
        <f t="shared" si="9"/>
        <v>0</v>
      </c>
      <c r="BE28" s="54">
        <f t="shared" si="9"/>
        <v>0</v>
      </c>
      <c r="BF28" s="54">
        <f t="shared" si="9"/>
        <v>0</v>
      </c>
      <c r="BG28" s="54">
        <f t="shared" si="9"/>
        <v>0</v>
      </c>
      <c r="BH28" s="54">
        <f t="shared" si="9"/>
        <v>0</v>
      </c>
      <c r="BI28" s="54">
        <f t="shared" si="9"/>
        <v>0</v>
      </c>
    </row>
    <row r="29" spans="1:61" x14ac:dyDescent="0.45">
      <c r="A29" t="s">
        <v>125</v>
      </c>
      <c r="B29" s="55"/>
      <c r="C29" s="55"/>
      <c r="D29" s="55"/>
      <c r="E29" s="55"/>
      <c r="F29" s="55"/>
      <c r="G29" s="55"/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</row>
    <row r="30" spans="1:61" x14ac:dyDescent="0.45">
      <c r="A30" t="s">
        <v>156</v>
      </c>
      <c r="B30" s="55">
        <v>6200</v>
      </c>
      <c r="C30" s="55"/>
      <c r="D30" s="55"/>
      <c r="E30" s="55"/>
      <c r="F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>
        <v>0</v>
      </c>
    </row>
    <row r="31" spans="1:61" x14ac:dyDescent="0.45">
      <c r="A31" t="s">
        <v>174</v>
      </c>
      <c r="B31" s="55"/>
      <c r="C31" s="55"/>
      <c r="E31" s="55"/>
      <c r="F31" s="56"/>
      <c r="G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>
        <v>0</v>
      </c>
    </row>
    <row r="32" spans="1:61" x14ac:dyDescent="0.45">
      <c r="A32" t="s">
        <v>166</v>
      </c>
      <c r="D32" s="55">
        <v>115000</v>
      </c>
      <c r="H32" s="55">
        <v>100000</v>
      </c>
    </row>
    <row r="33" spans="1:61" x14ac:dyDescent="0.45">
      <c r="A33" t="s">
        <v>161</v>
      </c>
      <c r="B33" s="55"/>
      <c r="C33" s="55"/>
      <c r="D33" s="55"/>
      <c r="E33" s="55"/>
      <c r="F33" s="55"/>
      <c r="G33" s="55"/>
      <c r="H33" s="55"/>
      <c r="I33" s="55"/>
      <c r="J33" s="55"/>
      <c r="K33" s="55">
        <v>150000</v>
      </c>
      <c r="L33" s="55">
        <v>0</v>
      </c>
      <c r="M33" s="55">
        <v>0</v>
      </c>
      <c r="N33" s="55">
        <v>0</v>
      </c>
      <c r="O33" s="55">
        <v>0</v>
      </c>
      <c r="P33" s="55"/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55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55">
        <v>0</v>
      </c>
      <c r="BC33" s="55">
        <v>0</v>
      </c>
      <c r="BD33" s="55">
        <v>0</v>
      </c>
      <c r="BE33" s="55">
        <v>0</v>
      </c>
      <c r="BF33" s="55">
        <v>0</v>
      </c>
      <c r="BG33" s="55">
        <v>0</v>
      </c>
      <c r="BH33" s="55">
        <v>0</v>
      </c>
      <c r="BI33" s="55">
        <v>0</v>
      </c>
    </row>
    <row r="34" spans="1:61" x14ac:dyDescent="0.45">
      <c r="A34" t="s">
        <v>165</v>
      </c>
      <c r="B34" s="55"/>
      <c r="C34" s="55"/>
      <c r="D34" s="55"/>
      <c r="E34" s="55"/>
      <c r="F34" s="55"/>
      <c r="G34" s="55"/>
      <c r="H34" s="55"/>
      <c r="I34" s="55"/>
      <c r="J34" s="55"/>
      <c r="K34" s="55">
        <v>100000</v>
      </c>
      <c r="N34" s="55"/>
      <c r="O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55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</row>
    <row r="35" spans="1:61" x14ac:dyDescent="0.45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>
        <v>0</v>
      </c>
      <c r="AV35" s="55">
        <v>0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55">
        <v>0</v>
      </c>
      <c r="BC35" s="55">
        <v>0</v>
      </c>
      <c r="BD35" s="55">
        <v>0</v>
      </c>
      <c r="BE35" s="55">
        <v>0</v>
      </c>
      <c r="BF35" s="55">
        <v>0</v>
      </c>
      <c r="BG35" s="55">
        <v>0</v>
      </c>
      <c r="BH35" s="55">
        <v>0</v>
      </c>
      <c r="BI35" s="55">
        <v>0</v>
      </c>
    </row>
    <row r="36" spans="1:61" x14ac:dyDescent="0.45">
      <c r="A36" s="21" t="s">
        <v>160</v>
      </c>
      <c r="B36" s="55"/>
      <c r="C36" s="55"/>
      <c r="D36" s="55"/>
      <c r="E36" s="55"/>
      <c r="F36" s="55"/>
      <c r="G36" s="55"/>
      <c r="H36" s="55"/>
      <c r="J36" s="55">
        <v>80000</v>
      </c>
      <c r="K36" s="55"/>
      <c r="L36" s="55"/>
      <c r="M36" s="55"/>
      <c r="N36" s="55">
        <v>-80000</v>
      </c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55">
        <v>0</v>
      </c>
      <c r="BC36" s="55">
        <v>0</v>
      </c>
      <c r="BD36" s="55">
        <v>0</v>
      </c>
      <c r="BE36" s="55">
        <v>0</v>
      </c>
      <c r="BF36" s="55">
        <v>0</v>
      </c>
      <c r="BG36" s="55">
        <v>0</v>
      </c>
      <c r="BH36" s="55">
        <v>0</v>
      </c>
      <c r="BI36" s="55">
        <v>0</v>
      </c>
    </row>
    <row r="37" spans="1:61" x14ac:dyDescent="0.45">
      <c r="A37" t="s">
        <v>74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>
        <v>0</v>
      </c>
      <c r="AV37" s="56">
        <v>0</v>
      </c>
      <c r="AW37" s="56">
        <v>0</v>
      </c>
      <c r="AX37" s="56">
        <v>0</v>
      </c>
      <c r="AY37" s="56">
        <v>0</v>
      </c>
      <c r="AZ37" s="56">
        <v>0</v>
      </c>
      <c r="BA37" s="56">
        <v>0</v>
      </c>
      <c r="BB37" s="56">
        <v>0</v>
      </c>
      <c r="BC37" s="56">
        <v>0</v>
      </c>
      <c r="BD37" s="56">
        <v>0</v>
      </c>
      <c r="BE37" s="56">
        <v>0</v>
      </c>
      <c r="BF37" s="56">
        <v>0</v>
      </c>
      <c r="BG37" s="56">
        <v>0</v>
      </c>
      <c r="BH37" s="56">
        <v>0</v>
      </c>
      <c r="BI37" s="56">
        <v>0</v>
      </c>
    </row>
    <row r="38" spans="1:61" x14ac:dyDescent="0.45">
      <c r="A38" t="s">
        <v>75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>
        <v>0</v>
      </c>
      <c r="AV38" s="56">
        <v>0</v>
      </c>
      <c r="AW38" s="56">
        <v>0</v>
      </c>
      <c r="AX38" s="56">
        <v>0</v>
      </c>
      <c r="AY38" s="56">
        <v>0</v>
      </c>
      <c r="AZ38" s="56">
        <v>0</v>
      </c>
      <c r="BA38" s="56">
        <v>0</v>
      </c>
      <c r="BB38" s="56">
        <v>0</v>
      </c>
      <c r="BC38" s="56">
        <v>0</v>
      </c>
      <c r="BD38" s="56">
        <v>0</v>
      </c>
      <c r="BE38" s="56">
        <v>0</v>
      </c>
      <c r="BF38" s="56">
        <v>0</v>
      </c>
      <c r="BG38" s="56">
        <v>0</v>
      </c>
      <c r="BH38" s="56">
        <v>0</v>
      </c>
      <c r="BI38" s="56">
        <v>0</v>
      </c>
    </row>
    <row r="40" spans="1:61" x14ac:dyDescent="0.45">
      <c r="A40" t="s">
        <v>76</v>
      </c>
      <c r="B40" s="23">
        <f t="shared" ref="B40:AG40" si="10">B28+B26+B24</f>
        <v>6200</v>
      </c>
      <c r="C40" s="23">
        <f t="shared" si="10"/>
        <v>-2516.8000000000002</v>
      </c>
      <c r="D40" s="23">
        <f t="shared" si="10"/>
        <v>105390</v>
      </c>
      <c r="E40" s="23">
        <f t="shared" si="10"/>
        <v>-64270.377933884294</v>
      </c>
      <c r="F40" s="23">
        <f t="shared" si="10"/>
        <v>-19180.400000000001</v>
      </c>
      <c r="G40" s="23">
        <f t="shared" si="10"/>
        <v>-34886.724999999999</v>
      </c>
      <c r="H40" s="23">
        <f t="shared" si="10"/>
        <v>88403.27</v>
      </c>
      <c r="I40" s="23">
        <f t="shared" si="10"/>
        <v>-75218.399999999994</v>
      </c>
      <c r="J40" s="23">
        <f t="shared" si="10"/>
        <v>55474.829166666663</v>
      </c>
      <c r="K40" s="23">
        <f t="shared" si="10"/>
        <v>135559.82916666666</v>
      </c>
      <c r="L40" s="23">
        <f t="shared" si="10"/>
        <v>-44038.170833333323</v>
      </c>
      <c r="M40" s="23">
        <f t="shared" si="10"/>
        <v>578.63908402204834</v>
      </c>
      <c r="N40" s="23">
        <f t="shared" si="10"/>
        <v>-107847.71249999999</v>
      </c>
      <c r="O40" s="23">
        <f t="shared" si="10"/>
        <v>4466.2875000000204</v>
      </c>
      <c r="P40" s="23">
        <f t="shared" si="10"/>
        <v>-33990.803409090906</v>
      </c>
      <c r="Q40" s="23">
        <f t="shared" si="10"/>
        <v>72495.087499999994</v>
      </c>
      <c r="R40" s="23">
        <f t="shared" si="10"/>
        <v>82839.487499999988</v>
      </c>
      <c r="S40" s="23">
        <f t="shared" si="10"/>
        <v>59002.458815427002</v>
      </c>
      <c r="T40" s="23">
        <f t="shared" si="10"/>
        <v>126139.51666666666</v>
      </c>
      <c r="U40" s="23">
        <f t="shared" si="10"/>
        <v>104387.91666666667</v>
      </c>
      <c r="V40" s="23">
        <f t="shared" si="10"/>
        <v>80604.157988980733</v>
      </c>
      <c r="W40" s="23">
        <f t="shared" si="10"/>
        <v>203841.73020833335</v>
      </c>
      <c r="X40" s="23">
        <f t="shared" si="10"/>
        <v>231303.73020833335</v>
      </c>
      <c r="Y40" s="23">
        <f t="shared" si="10"/>
        <v>-9176.8978908401914</v>
      </c>
      <c r="Z40" s="23">
        <f t="shared" si="10"/>
        <v>281027.73020833335</v>
      </c>
      <c r="AA40" s="23">
        <f t="shared" si="10"/>
        <v>313739.73020833335</v>
      </c>
      <c r="AB40" s="23">
        <f t="shared" si="10"/>
        <v>155892.42442320945</v>
      </c>
      <c r="AC40" s="23">
        <f t="shared" si="10"/>
        <v>360759.73020833335</v>
      </c>
      <c r="AD40" s="23">
        <f t="shared" si="10"/>
        <v>382667.73020833335</v>
      </c>
      <c r="AE40" s="23">
        <f t="shared" si="10"/>
        <v>188914.24260502763</v>
      </c>
      <c r="AF40" s="23">
        <f t="shared" si="10"/>
        <v>435991.73020833341</v>
      </c>
      <c r="AG40" s="23">
        <f t="shared" si="10"/>
        <v>359203.73020833341</v>
      </c>
      <c r="AH40" s="23">
        <f t="shared" ref="AH40:BI40" si="11">AH28+AH26+AH24</f>
        <v>228015.66409263085</v>
      </c>
      <c r="AI40" s="23">
        <f t="shared" si="11"/>
        <v>523622.48411458335</v>
      </c>
      <c r="AJ40" s="23">
        <f t="shared" si="11"/>
        <v>554912.52063802083</v>
      </c>
      <c r="AK40" s="23">
        <f t="shared" si="11"/>
        <v>148872.29693484749</v>
      </c>
      <c r="AL40" s="23">
        <f t="shared" si="11"/>
        <v>614540.42040487635</v>
      </c>
      <c r="AM40" s="23">
        <f t="shared" si="11"/>
        <v>651827.23501702258</v>
      </c>
      <c r="AN40" s="23">
        <f t="shared" si="11"/>
        <v>319321.06877827714</v>
      </c>
      <c r="AO40" s="23">
        <f t="shared" si="11"/>
        <v>706589.85308955924</v>
      </c>
      <c r="AP40" s="23">
        <f t="shared" si="11"/>
        <v>733014.51068224607</v>
      </c>
      <c r="AQ40" s="23">
        <f t="shared" si="11"/>
        <v>357197.81461428374</v>
      </c>
      <c r="AR40" s="23">
        <f t="shared" si="11"/>
        <v>793809.5282427948</v>
      </c>
      <c r="AS40" s="23">
        <f t="shared" si="11"/>
        <v>830378.63609007874</v>
      </c>
      <c r="AT40" s="23">
        <f t="shared" si="11"/>
        <v>421397.06229674804</v>
      </c>
      <c r="AU40" s="23">
        <f t="shared" si="11"/>
        <v>0</v>
      </c>
      <c r="AV40" s="23">
        <f t="shared" si="11"/>
        <v>0</v>
      </c>
      <c r="AW40" s="23">
        <f t="shared" si="11"/>
        <v>0</v>
      </c>
      <c r="AX40" s="23">
        <f t="shared" si="11"/>
        <v>0</v>
      </c>
      <c r="AY40" s="23">
        <f t="shared" si="11"/>
        <v>0</v>
      </c>
      <c r="AZ40" s="23">
        <f t="shared" si="11"/>
        <v>0</v>
      </c>
      <c r="BA40" s="23">
        <f t="shared" si="11"/>
        <v>0</v>
      </c>
      <c r="BB40" s="23">
        <f t="shared" si="11"/>
        <v>0</v>
      </c>
      <c r="BC40" s="23">
        <f t="shared" si="11"/>
        <v>0</v>
      </c>
      <c r="BD40" s="23">
        <f t="shared" si="11"/>
        <v>0</v>
      </c>
      <c r="BE40" s="23">
        <f t="shared" si="11"/>
        <v>0</v>
      </c>
      <c r="BF40" s="23">
        <f t="shared" si="11"/>
        <v>0</v>
      </c>
      <c r="BG40" s="23">
        <f t="shared" si="11"/>
        <v>0</v>
      </c>
      <c r="BH40" s="23">
        <f t="shared" si="11"/>
        <v>0</v>
      </c>
      <c r="BI40" s="23">
        <f t="shared" si="11"/>
        <v>0</v>
      </c>
    </row>
    <row r="41" spans="1:61" x14ac:dyDescent="0.45">
      <c r="A41" t="s">
        <v>77</v>
      </c>
      <c r="B41" s="23">
        <f>B40</f>
        <v>6200</v>
      </c>
      <c r="C41" s="23">
        <f>B42</f>
        <v>6200</v>
      </c>
      <c r="D41" s="23">
        <f t="shared" ref="D41:BI41" si="12">C42</f>
        <v>3683.2</v>
      </c>
      <c r="E41" s="23">
        <f t="shared" si="12"/>
        <v>109073.2</v>
      </c>
      <c r="F41" s="23">
        <f t="shared" si="12"/>
        <v>44802.822066115703</v>
      </c>
      <c r="G41" s="23">
        <f t="shared" si="12"/>
        <v>25622.422066115701</v>
      </c>
      <c r="H41" s="23">
        <f t="shared" si="12"/>
        <v>-9264.3029338842971</v>
      </c>
      <c r="I41" s="23">
        <f t="shared" si="12"/>
        <v>79138.9670661157</v>
      </c>
      <c r="J41" s="23">
        <f t="shared" si="12"/>
        <v>3920.5670661157055</v>
      </c>
      <c r="K41" s="23">
        <f t="shared" si="12"/>
        <v>59395.396232782368</v>
      </c>
      <c r="L41" s="23">
        <f t="shared" si="12"/>
        <v>194955.22539944903</v>
      </c>
      <c r="M41" s="23">
        <f t="shared" si="12"/>
        <v>150917.05456611572</v>
      </c>
      <c r="N41" s="23">
        <f t="shared" si="12"/>
        <v>151495.69365013778</v>
      </c>
      <c r="O41" s="23">
        <f t="shared" si="12"/>
        <v>43647.981150137784</v>
      </c>
      <c r="P41" s="23">
        <f t="shared" si="12"/>
        <v>48114.268650137805</v>
      </c>
      <c r="Q41" s="23">
        <f t="shared" si="12"/>
        <v>14123.465241046899</v>
      </c>
      <c r="R41" s="23">
        <f t="shared" si="12"/>
        <v>86618.552741046893</v>
      </c>
      <c r="S41" s="23">
        <f t="shared" si="12"/>
        <v>169458.04024104687</v>
      </c>
      <c r="T41" s="23">
        <f t="shared" si="12"/>
        <v>228460.49905647387</v>
      </c>
      <c r="U41" s="23">
        <f t="shared" si="12"/>
        <v>354600.01572314056</v>
      </c>
      <c r="V41" s="23">
        <f t="shared" si="12"/>
        <v>458987.93238980725</v>
      </c>
      <c r="W41" s="23">
        <f t="shared" si="12"/>
        <v>539592.09037878795</v>
      </c>
      <c r="X41" s="23">
        <f t="shared" si="12"/>
        <v>743433.8205871213</v>
      </c>
      <c r="Y41" s="23">
        <f t="shared" si="12"/>
        <v>974737.55079545465</v>
      </c>
      <c r="Z41" s="23">
        <f t="shared" si="12"/>
        <v>965560.65290461446</v>
      </c>
      <c r="AA41" s="23">
        <f t="shared" si="12"/>
        <v>1246588.3831129479</v>
      </c>
      <c r="AB41" s="23">
        <f t="shared" si="12"/>
        <v>1560328.1133212813</v>
      </c>
      <c r="AC41" s="23">
        <f t="shared" si="12"/>
        <v>1716220.5377444907</v>
      </c>
      <c r="AD41" s="23">
        <f t="shared" si="12"/>
        <v>2076980.267952824</v>
      </c>
      <c r="AE41" s="23">
        <f t="shared" si="12"/>
        <v>2459647.9981611576</v>
      </c>
      <c r="AF41" s="23">
        <f t="shared" si="12"/>
        <v>2648562.2407661853</v>
      </c>
      <c r="AG41" s="23">
        <f t="shared" si="12"/>
        <v>3084553.9709745189</v>
      </c>
      <c r="AH41" s="23">
        <f t="shared" si="12"/>
        <v>3443757.7011828525</v>
      </c>
      <c r="AI41" s="23">
        <f t="shared" si="12"/>
        <v>3671773.3652754836</v>
      </c>
      <c r="AJ41" s="23">
        <f t="shared" si="12"/>
        <v>4195395.8493900672</v>
      </c>
      <c r="AK41" s="23">
        <f t="shared" si="12"/>
        <v>4750308.3700280879</v>
      </c>
      <c r="AL41" s="23">
        <f t="shared" si="12"/>
        <v>4899180.6669629356</v>
      </c>
      <c r="AM41" s="23">
        <f t="shared" si="12"/>
        <v>5513721.0873678122</v>
      </c>
      <c r="AN41" s="23">
        <f t="shared" si="12"/>
        <v>6165548.3223848343</v>
      </c>
      <c r="AO41" s="23">
        <f t="shared" si="12"/>
        <v>6484869.3911631117</v>
      </c>
      <c r="AP41" s="23">
        <f t="shared" si="12"/>
        <v>7191459.2442526706</v>
      </c>
      <c r="AQ41" s="23">
        <f t="shared" si="12"/>
        <v>7924473.7549349163</v>
      </c>
      <c r="AR41" s="23">
        <f t="shared" si="12"/>
        <v>8281671.5695492001</v>
      </c>
      <c r="AS41" s="23">
        <f t="shared" si="12"/>
        <v>9075481.0977919959</v>
      </c>
      <c r="AT41" s="23">
        <f t="shared" si="12"/>
        <v>9905859.7338820752</v>
      </c>
      <c r="AU41" s="23">
        <f t="shared" si="12"/>
        <v>10327256.796178823</v>
      </c>
      <c r="AV41" s="23">
        <f t="shared" si="12"/>
        <v>10327256.796178823</v>
      </c>
      <c r="AW41" s="23">
        <f t="shared" si="12"/>
        <v>10327256.796178823</v>
      </c>
      <c r="AX41" s="23">
        <f t="shared" si="12"/>
        <v>10327256.796178823</v>
      </c>
      <c r="AY41" s="23">
        <f t="shared" si="12"/>
        <v>10327256.796178823</v>
      </c>
      <c r="AZ41" s="23">
        <f t="shared" si="12"/>
        <v>10327256.796178823</v>
      </c>
      <c r="BA41" s="23">
        <f t="shared" si="12"/>
        <v>10327256.796178823</v>
      </c>
      <c r="BB41" s="23">
        <f t="shared" si="12"/>
        <v>10327256.796178823</v>
      </c>
      <c r="BC41" s="23">
        <f t="shared" si="12"/>
        <v>10327256.796178823</v>
      </c>
      <c r="BD41" s="23">
        <f t="shared" si="12"/>
        <v>10327256.796178823</v>
      </c>
      <c r="BE41" s="23">
        <f t="shared" si="12"/>
        <v>10327256.796178823</v>
      </c>
      <c r="BF41" s="23">
        <f t="shared" si="12"/>
        <v>10327256.796178823</v>
      </c>
      <c r="BG41" s="23">
        <f t="shared" si="12"/>
        <v>10327256.796178823</v>
      </c>
      <c r="BH41" s="23">
        <f t="shared" si="12"/>
        <v>10327256.796178823</v>
      </c>
      <c r="BI41" s="23">
        <f t="shared" si="12"/>
        <v>10327256.796178823</v>
      </c>
    </row>
    <row r="42" spans="1:61" ht="25.5" x14ac:dyDescent="0.75">
      <c r="A42" s="54" t="s">
        <v>78</v>
      </c>
      <c r="B42" s="54">
        <f>B41</f>
        <v>6200</v>
      </c>
      <c r="C42" s="54">
        <f>C41+C40</f>
        <v>3683.2</v>
      </c>
      <c r="D42" s="54">
        <f t="shared" ref="D42:BI42" si="13">D41+D40</f>
        <v>109073.2</v>
      </c>
      <c r="E42" s="54">
        <f t="shared" si="13"/>
        <v>44802.822066115703</v>
      </c>
      <c r="F42" s="54">
        <f t="shared" si="13"/>
        <v>25622.422066115701</v>
      </c>
      <c r="G42" s="54">
        <f t="shared" si="13"/>
        <v>-9264.3029338842971</v>
      </c>
      <c r="H42" s="54">
        <f t="shared" si="13"/>
        <v>79138.9670661157</v>
      </c>
      <c r="I42" s="54">
        <f t="shared" si="13"/>
        <v>3920.5670661157055</v>
      </c>
      <c r="J42" s="54">
        <f t="shared" si="13"/>
        <v>59395.396232782368</v>
      </c>
      <c r="K42" s="54">
        <f t="shared" si="13"/>
        <v>194955.22539944903</v>
      </c>
      <c r="L42" s="54">
        <f t="shared" si="13"/>
        <v>150917.05456611572</v>
      </c>
      <c r="M42" s="54">
        <f t="shared" si="13"/>
        <v>151495.69365013778</v>
      </c>
      <c r="N42" s="54">
        <f t="shared" si="13"/>
        <v>43647.981150137784</v>
      </c>
      <c r="O42" s="54">
        <f t="shared" si="13"/>
        <v>48114.268650137805</v>
      </c>
      <c r="P42" s="54">
        <f t="shared" si="13"/>
        <v>14123.465241046899</v>
      </c>
      <c r="Q42" s="54">
        <f t="shared" si="13"/>
        <v>86618.552741046893</v>
      </c>
      <c r="R42" s="54">
        <f t="shared" si="13"/>
        <v>169458.04024104687</v>
      </c>
      <c r="S42" s="54">
        <f t="shared" si="13"/>
        <v>228460.49905647387</v>
      </c>
      <c r="T42" s="54">
        <f t="shared" si="13"/>
        <v>354600.01572314056</v>
      </c>
      <c r="U42" s="54">
        <f t="shared" si="13"/>
        <v>458987.93238980725</v>
      </c>
      <c r="V42" s="54">
        <f t="shared" si="13"/>
        <v>539592.09037878795</v>
      </c>
      <c r="W42" s="54">
        <f t="shared" si="13"/>
        <v>743433.8205871213</v>
      </c>
      <c r="X42" s="54">
        <f t="shared" si="13"/>
        <v>974737.55079545465</v>
      </c>
      <c r="Y42" s="54">
        <f t="shared" si="13"/>
        <v>965560.65290461446</v>
      </c>
      <c r="Z42" s="54">
        <f t="shared" si="13"/>
        <v>1246588.3831129479</v>
      </c>
      <c r="AA42" s="54">
        <f t="shared" si="13"/>
        <v>1560328.1133212813</v>
      </c>
      <c r="AB42" s="54">
        <f t="shared" si="13"/>
        <v>1716220.5377444907</v>
      </c>
      <c r="AC42" s="54">
        <f t="shared" si="13"/>
        <v>2076980.267952824</v>
      </c>
      <c r="AD42" s="54">
        <f t="shared" si="13"/>
        <v>2459647.9981611576</v>
      </c>
      <c r="AE42" s="54">
        <f t="shared" si="13"/>
        <v>2648562.2407661853</v>
      </c>
      <c r="AF42" s="54">
        <f t="shared" si="13"/>
        <v>3084553.9709745189</v>
      </c>
      <c r="AG42" s="54">
        <f t="shared" si="13"/>
        <v>3443757.7011828525</v>
      </c>
      <c r="AH42" s="54">
        <f t="shared" si="13"/>
        <v>3671773.3652754836</v>
      </c>
      <c r="AI42" s="54">
        <f t="shared" si="13"/>
        <v>4195395.8493900672</v>
      </c>
      <c r="AJ42" s="54">
        <f t="shared" si="13"/>
        <v>4750308.3700280879</v>
      </c>
      <c r="AK42" s="54">
        <f t="shared" si="13"/>
        <v>4899180.6669629356</v>
      </c>
      <c r="AL42" s="54">
        <f t="shared" si="13"/>
        <v>5513721.0873678122</v>
      </c>
      <c r="AM42" s="54">
        <f t="shared" si="13"/>
        <v>6165548.3223848343</v>
      </c>
      <c r="AN42" s="54">
        <f t="shared" si="13"/>
        <v>6484869.3911631117</v>
      </c>
      <c r="AO42" s="54">
        <f t="shared" si="13"/>
        <v>7191459.2442526706</v>
      </c>
      <c r="AP42" s="54">
        <f t="shared" si="13"/>
        <v>7924473.7549349163</v>
      </c>
      <c r="AQ42" s="54">
        <f t="shared" si="13"/>
        <v>8281671.5695492001</v>
      </c>
      <c r="AR42" s="54">
        <f t="shared" si="13"/>
        <v>9075481.0977919959</v>
      </c>
      <c r="AS42" s="54">
        <f t="shared" si="13"/>
        <v>9905859.7338820752</v>
      </c>
      <c r="AT42" s="54">
        <f t="shared" si="13"/>
        <v>10327256.796178823</v>
      </c>
      <c r="AU42" s="54">
        <f t="shared" si="13"/>
        <v>10327256.796178823</v>
      </c>
      <c r="AV42" s="54">
        <f t="shared" si="13"/>
        <v>10327256.796178823</v>
      </c>
      <c r="AW42" s="54">
        <f t="shared" si="13"/>
        <v>10327256.796178823</v>
      </c>
      <c r="AX42" s="54">
        <f t="shared" si="13"/>
        <v>10327256.796178823</v>
      </c>
      <c r="AY42" s="54">
        <f t="shared" si="13"/>
        <v>10327256.796178823</v>
      </c>
      <c r="AZ42" s="54">
        <f t="shared" si="13"/>
        <v>10327256.796178823</v>
      </c>
      <c r="BA42" s="54">
        <f t="shared" si="13"/>
        <v>10327256.796178823</v>
      </c>
      <c r="BB42" s="54">
        <f t="shared" si="13"/>
        <v>10327256.796178823</v>
      </c>
      <c r="BC42" s="54">
        <f t="shared" si="13"/>
        <v>10327256.796178823</v>
      </c>
      <c r="BD42" s="54">
        <f t="shared" si="13"/>
        <v>10327256.796178823</v>
      </c>
      <c r="BE42" s="54">
        <f t="shared" si="13"/>
        <v>10327256.796178823</v>
      </c>
      <c r="BF42" s="54">
        <f t="shared" si="13"/>
        <v>10327256.796178823</v>
      </c>
      <c r="BG42" s="54">
        <f t="shared" si="13"/>
        <v>10327256.796178823</v>
      </c>
      <c r="BH42" s="54">
        <f t="shared" si="13"/>
        <v>10327256.796178823</v>
      </c>
      <c r="BI42" s="54">
        <f t="shared" si="13"/>
        <v>10327256.796178823</v>
      </c>
    </row>
    <row r="44" spans="1:61" hidden="1" x14ac:dyDescent="0.45">
      <c r="A44" t="s">
        <v>79</v>
      </c>
      <c r="B44" s="23">
        <f>MIN(B42:M42)</f>
        <v>-9264.3029338842971</v>
      </c>
    </row>
    <row r="45" spans="1:61" hidden="1" x14ac:dyDescent="0.45">
      <c r="A45" t="s">
        <v>80</v>
      </c>
      <c r="B45" s="23">
        <f>MIN(N42:Y42)</f>
        <v>14123.465241046899</v>
      </c>
    </row>
    <row r="46" spans="1:61" hidden="1" x14ac:dyDescent="0.45">
      <c r="A46" t="s">
        <v>81</v>
      </c>
      <c r="B46" s="23">
        <f>MIN(Z42:AK42)</f>
        <v>1246588.3831129479</v>
      </c>
    </row>
    <row r="47" spans="1:61" hidden="1" x14ac:dyDescent="0.45">
      <c r="A47" t="s">
        <v>82</v>
      </c>
      <c r="B47" s="23">
        <f>MIN(AL42:AW42)</f>
        <v>5513721.0873678122</v>
      </c>
    </row>
    <row r="48" spans="1:61" hidden="1" x14ac:dyDescent="0.45">
      <c r="A48" t="s">
        <v>83</v>
      </c>
      <c r="B48" s="23">
        <f>MIN(AX42:BI42)</f>
        <v>10327256.796178823</v>
      </c>
    </row>
    <row r="49" spans="2:3" hidden="1" x14ac:dyDescent="0.45"/>
    <row r="50" spans="2:3" x14ac:dyDescent="0.45">
      <c r="B50" s="23"/>
      <c r="C50" s="57"/>
    </row>
    <row r="51" spans="2:3" x14ac:dyDescent="0.45">
      <c r="B51" s="23"/>
    </row>
    <row r="52" spans="2:3" x14ac:dyDescent="0.45">
      <c r="B52" s="23">
        <f>IF(B45-B44&gt;0,0,(1+C50)*(B44-B45))</f>
        <v>0</v>
      </c>
    </row>
    <row r="53" spans="2:3" x14ac:dyDescent="0.45">
      <c r="B53" s="23">
        <f>IF(B46-B45&gt;0,0,(1+C50)*(B45-B46))</f>
        <v>0</v>
      </c>
    </row>
    <row r="54" spans="2:3" x14ac:dyDescent="0.45">
      <c r="B54" s="23">
        <f>IF(B47-B46&gt;0,0,-(1+C50)*(B47-B46))</f>
        <v>0</v>
      </c>
    </row>
    <row r="55" spans="2:3" x14ac:dyDescent="0.45">
      <c r="B55" s="23">
        <f>IF(B48-B47&gt;0,0,(1+C50)*(B47-B48))</f>
        <v>0</v>
      </c>
    </row>
  </sheetData>
  <mergeCells count="3">
    <mergeCell ref="B1:M1"/>
    <mergeCell ref="N1:Y1"/>
    <mergeCell ref="Z1:AK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I17"/>
  <sheetViews>
    <sheetView topLeftCell="H3" workbookViewId="0">
      <selection activeCell="K17" sqref="K17"/>
    </sheetView>
  </sheetViews>
  <sheetFormatPr baseColWidth="10" defaultColWidth="11.3984375" defaultRowHeight="14.25" x14ac:dyDescent="0.45"/>
  <cols>
    <col min="1" max="1" width="38" bestFit="1" customWidth="1"/>
    <col min="2" max="5" width="12.86328125" bestFit="1" customWidth="1"/>
    <col min="6" max="6" width="12.86328125" customWidth="1"/>
    <col min="7" max="46" width="14.265625" bestFit="1" customWidth="1"/>
    <col min="47" max="51" width="14.265625" hidden="1" customWidth="1"/>
    <col min="52" max="61" width="15.265625" hidden="1" customWidth="1"/>
  </cols>
  <sheetData>
    <row r="1" spans="1:61" x14ac:dyDescent="0.45">
      <c r="B1" s="142" t="s">
        <v>31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4" t="s">
        <v>32</v>
      </c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2" t="s">
        <v>33</v>
      </c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</row>
    <row r="2" spans="1:61" x14ac:dyDescent="0.45">
      <c r="A2" t="s">
        <v>55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5">
        <v>19</v>
      </c>
      <c r="U2" s="5">
        <v>20</v>
      </c>
      <c r="V2" s="5">
        <v>21</v>
      </c>
      <c r="W2" s="5">
        <v>22</v>
      </c>
      <c r="X2" s="5">
        <v>23</v>
      </c>
      <c r="Y2" s="5">
        <v>24</v>
      </c>
      <c r="Z2" s="5">
        <v>25</v>
      </c>
      <c r="AA2" s="5">
        <v>26</v>
      </c>
      <c r="AB2" s="5">
        <v>27</v>
      </c>
      <c r="AC2" s="5">
        <v>28</v>
      </c>
      <c r="AD2" s="5">
        <v>29</v>
      </c>
      <c r="AE2" s="5">
        <v>30</v>
      </c>
      <c r="AF2" s="5">
        <v>31</v>
      </c>
      <c r="AG2" s="5">
        <v>32</v>
      </c>
      <c r="AH2" s="5">
        <v>33</v>
      </c>
      <c r="AI2" s="5">
        <v>34</v>
      </c>
      <c r="AJ2" s="5">
        <v>35</v>
      </c>
      <c r="AK2" s="5">
        <v>36</v>
      </c>
      <c r="AL2" s="5">
        <v>37</v>
      </c>
      <c r="AM2" s="5">
        <v>38</v>
      </c>
      <c r="AN2" s="5">
        <v>39</v>
      </c>
      <c r="AO2" s="5">
        <v>40</v>
      </c>
      <c r="AP2" s="5">
        <v>41</v>
      </c>
      <c r="AQ2" s="5">
        <v>42</v>
      </c>
      <c r="AR2" s="5">
        <v>43</v>
      </c>
      <c r="AS2" s="5">
        <v>44</v>
      </c>
      <c r="AT2" s="5">
        <v>45</v>
      </c>
      <c r="AU2" s="5">
        <v>46</v>
      </c>
      <c r="AV2" s="5">
        <v>47</v>
      </c>
      <c r="AW2" s="5">
        <v>48</v>
      </c>
      <c r="AX2" s="5">
        <v>49</v>
      </c>
      <c r="AY2" s="5">
        <v>50</v>
      </c>
      <c r="AZ2" s="5">
        <v>51</v>
      </c>
      <c r="BA2" s="5">
        <v>52</v>
      </c>
      <c r="BB2" s="5">
        <v>53</v>
      </c>
      <c r="BC2" s="5">
        <v>54</v>
      </c>
      <c r="BD2" s="5">
        <v>55</v>
      </c>
      <c r="BE2" s="5">
        <v>56</v>
      </c>
      <c r="BF2" s="5">
        <v>57</v>
      </c>
      <c r="BG2" s="5">
        <v>58</v>
      </c>
      <c r="BH2" s="5">
        <v>59</v>
      </c>
      <c r="BI2" s="5">
        <v>60</v>
      </c>
    </row>
    <row r="3" spans="1:61" s="67" customFormat="1" ht="21" x14ac:dyDescent="0.65">
      <c r="A3" s="65"/>
      <c r="B3" s="66">
        <v>43191</v>
      </c>
      <c r="C3" s="66">
        <v>43221</v>
      </c>
      <c r="D3" s="66">
        <v>43252</v>
      </c>
      <c r="E3" s="66">
        <v>43282</v>
      </c>
      <c r="F3" s="66">
        <v>43313</v>
      </c>
      <c r="G3" s="66">
        <v>43344</v>
      </c>
      <c r="H3" s="66">
        <v>43374</v>
      </c>
      <c r="I3" s="66">
        <v>43405</v>
      </c>
      <c r="J3" s="66">
        <v>43435</v>
      </c>
      <c r="K3" s="66">
        <v>43466</v>
      </c>
      <c r="L3" s="66">
        <v>43497</v>
      </c>
      <c r="M3" s="66">
        <v>43525</v>
      </c>
      <c r="N3" s="66">
        <v>43556</v>
      </c>
      <c r="O3" s="66">
        <v>43586</v>
      </c>
      <c r="P3" s="66">
        <v>43617</v>
      </c>
      <c r="Q3" s="66">
        <v>43647</v>
      </c>
      <c r="R3" s="66">
        <v>43678</v>
      </c>
      <c r="S3" s="66">
        <v>43709</v>
      </c>
      <c r="T3" s="66">
        <v>43739</v>
      </c>
      <c r="U3" s="66">
        <v>43770</v>
      </c>
      <c r="V3" s="66">
        <v>43800</v>
      </c>
      <c r="W3" s="66">
        <v>43831</v>
      </c>
      <c r="X3" s="66">
        <v>43862</v>
      </c>
      <c r="Y3" s="66">
        <v>43891</v>
      </c>
      <c r="Z3" s="66">
        <v>43922</v>
      </c>
      <c r="AA3" s="66">
        <v>43952</v>
      </c>
      <c r="AB3" s="66">
        <v>43983</v>
      </c>
      <c r="AC3" s="66">
        <v>44013</v>
      </c>
      <c r="AD3" s="66">
        <v>44044</v>
      </c>
      <c r="AE3" s="66">
        <v>44075</v>
      </c>
      <c r="AF3" s="66">
        <v>44105</v>
      </c>
      <c r="AG3" s="66">
        <v>44136</v>
      </c>
      <c r="AH3" s="66">
        <v>44166</v>
      </c>
      <c r="AI3" s="66">
        <v>44197</v>
      </c>
      <c r="AJ3" s="66">
        <v>44228</v>
      </c>
      <c r="AK3" s="66">
        <v>44256</v>
      </c>
      <c r="AL3" s="66">
        <v>44287</v>
      </c>
      <c r="AM3" s="66">
        <v>44317</v>
      </c>
      <c r="AN3" s="66">
        <v>44348</v>
      </c>
      <c r="AO3" s="66">
        <v>44378</v>
      </c>
      <c r="AP3" s="66">
        <v>44409</v>
      </c>
      <c r="AQ3" s="66">
        <v>44440</v>
      </c>
      <c r="AR3" s="66">
        <v>44470</v>
      </c>
      <c r="AS3" s="66">
        <v>44501</v>
      </c>
      <c r="AT3" s="66">
        <v>44531</v>
      </c>
      <c r="AU3" s="66">
        <v>44835</v>
      </c>
      <c r="AV3" s="66">
        <v>44866</v>
      </c>
      <c r="AW3" s="66">
        <v>44896</v>
      </c>
      <c r="AX3" s="66">
        <v>44927</v>
      </c>
      <c r="AY3" s="66">
        <v>44958</v>
      </c>
      <c r="AZ3" s="66">
        <v>44986</v>
      </c>
      <c r="BA3" s="66">
        <v>45017</v>
      </c>
      <c r="BB3" s="66">
        <v>45047</v>
      </c>
      <c r="BC3" s="66">
        <v>45078</v>
      </c>
      <c r="BD3" s="66">
        <v>45108</v>
      </c>
      <c r="BE3" s="66">
        <v>45139</v>
      </c>
      <c r="BF3" s="66">
        <v>45170</v>
      </c>
      <c r="BG3" s="66">
        <v>45200</v>
      </c>
      <c r="BH3" s="66">
        <v>45231</v>
      </c>
      <c r="BI3" s="66">
        <v>45261</v>
      </c>
    </row>
    <row r="4" spans="1:61" ht="18" x14ac:dyDescent="0.55000000000000004">
      <c r="A4" s="58" t="s">
        <v>84</v>
      </c>
      <c r="B4" s="14">
        <f>B6+B10-B12+B17</f>
        <v>0</v>
      </c>
      <c r="C4" s="14">
        <f>C6+C10-C12+C17</f>
        <v>-2516.8000000000002</v>
      </c>
      <c r="D4" s="14">
        <f t="shared" ref="D4:AT4" si="0">D6+D10-D12+D17</f>
        <v>-9610</v>
      </c>
      <c r="E4" s="14">
        <f t="shared" si="0"/>
        <v>-64270.377933884301</v>
      </c>
      <c r="F4" s="14">
        <f t="shared" si="0"/>
        <v>-17180.400000000001</v>
      </c>
      <c r="G4" s="14">
        <f t="shared" si="0"/>
        <v>-32886.724999999999</v>
      </c>
      <c r="H4" s="14">
        <f>H6+H10-H12+H17</f>
        <v>-9596.7300000000032</v>
      </c>
      <c r="I4" s="14">
        <f t="shared" si="0"/>
        <v>-71218.400000000009</v>
      </c>
      <c r="J4" s="14">
        <f>J6+J10-J12+J17</f>
        <v>-15918.400000000009</v>
      </c>
      <c r="K4" s="14">
        <f t="shared" si="0"/>
        <v>-132285.05289256197</v>
      </c>
      <c r="L4" s="14">
        <f t="shared" si="0"/>
        <v>-65769.003305785125</v>
      </c>
      <c r="M4" s="14">
        <f t="shared" si="0"/>
        <v>-5452.9537190082556</v>
      </c>
      <c r="N4" s="14">
        <f t="shared" si="0"/>
        <v>-47386.904132231393</v>
      </c>
      <c r="O4" s="14">
        <f t="shared" si="0"/>
        <v>-42274.557024793372</v>
      </c>
      <c r="P4" s="14">
        <f t="shared" si="0"/>
        <v>-51579.247933884297</v>
      </c>
      <c r="Q4" s="14">
        <f t="shared" si="0"/>
        <v>8656.0611570248002</v>
      </c>
      <c r="R4" s="14">
        <f t="shared" si="0"/>
        <v>10451.370247933881</v>
      </c>
      <c r="S4" s="14">
        <f t="shared" si="0"/>
        <v>17959.026446281001</v>
      </c>
      <c r="T4" s="14">
        <f t="shared" si="0"/>
        <v>5286.434710743808</v>
      </c>
      <c r="U4" s="14">
        <f t="shared" si="0"/>
        <v>-32786.157024793385</v>
      </c>
      <c r="V4" s="14">
        <f t="shared" si="0"/>
        <v>26130.880991735554</v>
      </c>
      <c r="W4" s="14">
        <f t="shared" si="0"/>
        <v>30847.178512396698</v>
      </c>
      <c r="X4" s="14">
        <f t="shared" si="0"/>
        <v>34993.476033057843</v>
      </c>
      <c r="Y4" s="14">
        <f t="shared" si="0"/>
        <v>-86810.226446281013</v>
      </c>
      <c r="Z4" s="14">
        <f t="shared" si="0"/>
        <v>38086.071074380161</v>
      </c>
      <c r="AA4" s="14">
        <f t="shared" si="0"/>
        <v>47482.368595041306</v>
      </c>
      <c r="AB4" s="14">
        <f t="shared" si="0"/>
        <v>52378.666115702508</v>
      </c>
      <c r="AC4" s="14">
        <f t="shared" si="0"/>
        <v>55642.864462809899</v>
      </c>
      <c r="AD4" s="14">
        <f t="shared" si="0"/>
        <v>62007.062809917348</v>
      </c>
      <c r="AE4" s="14">
        <f t="shared" si="0"/>
        <v>66903.360330578493</v>
      </c>
      <c r="AF4" s="14">
        <f t="shared" si="0"/>
        <v>68699.657851239695</v>
      </c>
      <c r="AG4" s="14">
        <f t="shared" si="0"/>
        <v>-31404.04462809916</v>
      </c>
      <c r="AH4" s="14">
        <f t="shared" si="0"/>
        <v>78492.252892561984</v>
      </c>
      <c r="AI4" s="14">
        <f t="shared" si="0"/>
        <v>84204.599999999948</v>
      </c>
      <c r="AJ4" s="14">
        <f t="shared" si="0"/>
        <v>88866.947107437969</v>
      </c>
      <c r="AK4" s="14">
        <f t="shared" si="0"/>
        <v>-30420.705785123952</v>
      </c>
      <c r="AL4" s="14">
        <f t="shared" si="0"/>
        <v>95291.64132231407</v>
      </c>
      <c r="AM4" s="14">
        <f t="shared" si="0"/>
        <v>106003.98842975209</v>
      </c>
      <c r="AN4" s="14">
        <f t="shared" si="0"/>
        <v>111716.33553719011</v>
      </c>
      <c r="AO4" s="14">
        <f t="shared" si="0"/>
        <v>115796.58347107438</v>
      </c>
      <c r="AP4" s="14">
        <f t="shared" si="0"/>
        <v>123476.83140495865</v>
      </c>
      <c r="AQ4" s="14">
        <f t="shared" si="0"/>
        <v>129189.17851239667</v>
      </c>
      <c r="AR4" s="14">
        <f t="shared" si="0"/>
        <v>131301.52561983469</v>
      </c>
      <c r="AS4" s="14">
        <f t="shared" si="0"/>
        <v>133645.97190082647</v>
      </c>
      <c r="AT4" s="14">
        <f t="shared" si="0"/>
        <v>147022.51735537188</v>
      </c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</row>
    <row r="5" spans="1:61" x14ac:dyDescent="0.4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</row>
    <row r="6" spans="1:61" ht="18" x14ac:dyDescent="0.55000000000000004">
      <c r="A6" s="58" t="s">
        <v>85</v>
      </c>
      <c r="B6" s="59">
        <v>0</v>
      </c>
      <c r="C6" s="59">
        <v>0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0</v>
      </c>
      <c r="U6" s="59">
        <v>0</v>
      </c>
      <c r="V6" s="59">
        <v>0</v>
      </c>
      <c r="W6" s="59">
        <v>0</v>
      </c>
      <c r="X6" s="59">
        <v>0</v>
      </c>
      <c r="Y6" s="59">
        <v>0</v>
      </c>
      <c r="Z6" s="59">
        <v>0</v>
      </c>
      <c r="AA6" s="59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9">
        <v>0</v>
      </c>
      <c r="AH6" s="59">
        <v>0</v>
      </c>
      <c r="AI6" s="59">
        <v>0</v>
      </c>
      <c r="AJ6" s="59">
        <v>0</v>
      </c>
      <c r="AK6" s="59">
        <v>0</v>
      </c>
      <c r="AL6" s="59">
        <v>0</v>
      </c>
      <c r="AM6" s="59">
        <v>0</v>
      </c>
      <c r="AN6" s="59">
        <v>0</v>
      </c>
      <c r="AO6" s="59">
        <v>0</v>
      </c>
      <c r="AP6" s="59">
        <v>0</v>
      </c>
      <c r="AQ6" s="59">
        <v>0</v>
      </c>
      <c r="AR6" s="59">
        <v>0</v>
      </c>
      <c r="AS6" s="59">
        <v>0</v>
      </c>
      <c r="AT6" s="59">
        <v>0</v>
      </c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</row>
    <row r="7" spans="1:61" x14ac:dyDescent="0.4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</row>
    <row r="8" spans="1:61" x14ac:dyDescent="0.4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</row>
    <row r="9" spans="1:61" x14ac:dyDescent="0.4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</row>
    <row r="10" spans="1:61" ht="18" x14ac:dyDescent="0.55000000000000004">
      <c r="A10" s="58" t="s">
        <v>86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</row>
    <row r="11" spans="1:61" x14ac:dyDescent="0.4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</row>
    <row r="12" spans="1:61" ht="18" x14ac:dyDescent="0.55000000000000004">
      <c r="A12" s="58" t="s">
        <v>87</v>
      </c>
      <c r="B12" s="14">
        <f>B13-B14+B15</f>
        <v>0</v>
      </c>
      <c r="C12" s="14">
        <f>C13-C14+C15+B12-B15</f>
        <v>2516.8000000000002</v>
      </c>
      <c r="D12" s="14">
        <f>D13-D14+D15+C12-C15</f>
        <v>9610</v>
      </c>
      <c r="E12" s="14">
        <f t="shared" ref="E12:AT12" si="1">E13-E14+E15+D12-D15</f>
        <v>64270.377933884301</v>
      </c>
      <c r="F12" s="14">
        <f t="shared" si="1"/>
        <v>17180.400000000001</v>
      </c>
      <c r="G12" s="14">
        <f t="shared" si="1"/>
        <v>32886.724999999999</v>
      </c>
      <c r="H12" s="14">
        <f t="shared" si="1"/>
        <v>9596.7300000000032</v>
      </c>
      <c r="I12" s="14">
        <f t="shared" si="1"/>
        <v>71218.400000000009</v>
      </c>
      <c r="J12" s="14">
        <f t="shared" si="1"/>
        <v>15918.400000000009</v>
      </c>
      <c r="K12" s="14">
        <f t="shared" si="1"/>
        <v>137997.4</v>
      </c>
      <c r="L12" s="14">
        <f t="shared" si="1"/>
        <v>72297.399999999994</v>
      </c>
      <c r="M12" s="14">
        <f t="shared" si="1"/>
        <v>12797.399999999994</v>
      </c>
      <c r="N12" s="14">
        <f t="shared" si="1"/>
        <v>55547.399999999987</v>
      </c>
      <c r="O12" s="14">
        <f t="shared" si="1"/>
        <v>56147.399999999987</v>
      </c>
      <c r="P12" s="14">
        <f t="shared" si="1"/>
        <v>67247.399999999994</v>
      </c>
      <c r="Q12" s="14">
        <f t="shared" si="1"/>
        <v>8807.3999999999942</v>
      </c>
      <c r="R12" s="14">
        <f t="shared" si="1"/>
        <v>8807.399999999996</v>
      </c>
      <c r="S12" s="14">
        <f t="shared" si="1"/>
        <v>8807.399999999996</v>
      </c>
      <c r="T12" s="14">
        <f t="shared" si="1"/>
        <v>24907.399999999994</v>
      </c>
      <c r="U12" s="14">
        <f t="shared" si="1"/>
        <v>66407.399999999994</v>
      </c>
      <c r="V12" s="14">
        <f t="shared" si="1"/>
        <v>11407.399999999994</v>
      </c>
      <c r="W12" s="14">
        <f t="shared" si="1"/>
        <v>11587.399999999996</v>
      </c>
      <c r="X12" s="14">
        <f t="shared" si="1"/>
        <v>12337.399999999996</v>
      </c>
      <c r="Y12" s="14">
        <f t="shared" si="1"/>
        <v>139037.4</v>
      </c>
      <c r="Z12" s="14">
        <f t="shared" si="1"/>
        <v>19037.399999999994</v>
      </c>
      <c r="AA12" s="14">
        <f t="shared" si="1"/>
        <v>14537.399999999994</v>
      </c>
      <c r="AB12" s="14">
        <f t="shared" si="1"/>
        <v>14537.399999999996</v>
      </c>
      <c r="AC12" s="14">
        <f t="shared" si="1"/>
        <v>14537.399999999996</v>
      </c>
      <c r="AD12" s="14">
        <f t="shared" si="1"/>
        <v>11437.399999999996</v>
      </c>
      <c r="AE12" s="14">
        <f t="shared" si="1"/>
        <v>11437.399999999996</v>
      </c>
      <c r="AF12" s="14">
        <f t="shared" si="1"/>
        <v>14537.399999999996</v>
      </c>
      <c r="AG12" s="14">
        <f t="shared" si="1"/>
        <v>119537.4</v>
      </c>
      <c r="AH12" s="14">
        <f t="shared" si="1"/>
        <v>14537.399999999994</v>
      </c>
      <c r="AI12" s="14">
        <f t="shared" si="1"/>
        <v>14537.399999999996</v>
      </c>
      <c r="AJ12" s="14">
        <f t="shared" si="1"/>
        <v>15587.399999999996</v>
      </c>
      <c r="AK12" s="14">
        <f t="shared" si="1"/>
        <v>140587.4</v>
      </c>
      <c r="AL12" s="14">
        <f t="shared" si="1"/>
        <v>20587.399999999994</v>
      </c>
      <c r="AM12" s="14">
        <f t="shared" si="1"/>
        <v>15587.399999999994</v>
      </c>
      <c r="AN12" s="14">
        <f t="shared" si="1"/>
        <v>15587.399999999996</v>
      </c>
      <c r="AO12" s="14">
        <f t="shared" si="1"/>
        <v>15587.399999999996</v>
      </c>
      <c r="AP12" s="14">
        <f t="shared" si="1"/>
        <v>11987.399999999996</v>
      </c>
      <c r="AQ12" s="14">
        <f t="shared" si="1"/>
        <v>11987.399999999996</v>
      </c>
      <c r="AR12" s="14">
        <f t="shared" si="1"/>
        <v>15587.399999999996</v>
      </c>
      <c r="AS12" s="14">
        <f t="shared" si="1"/>
        <v>20587.399999999994</v>
      </c>
      <c r="AT12" s="14">
        <f t="shared" si="1"/>
        <v>16187.399999999994</v>
      </c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</row>
    <row r="13" spans="1:61" x14ac:dyDescent="0.45">
      <c r="A13" t="s">
        <v>88</v>
      </c>
      <c r="B13" s="14"/>
      <c r="C13" s="14">
        <f>+'P&amp;L Mensuel'!F68</f>
        <v>0</v>
      </c>
      <c r="D13" s="14">
        <f>+'P&amp;L Mensuel'!G68</f>
        <v>0</v>
      </c>
      <c r="E13" s="14">
        <f>+'P&amp;L Mensuel'!H68</f>
        <v>0</v>
      </c>
      <c r="F13" s="14">
        <f>+'P&amp;L Mensuel'!I68</f>
        <v>2000</v>
      </c>
      <c r="G13" s="14">
        <f>+'P&amp;L Mensuel'!J68</f>
        <v>2000</v>
      </c>
      <c r="H13" s="14">
        <f>+'P&amp;L Mensuel'!K68</f>
        <v>2000</v>
      </c>
      <c r="I13" s="14">
        <f>+'P&amp;L Mensuel'!L68</f>
        <v>4000</v>
      </c>
      <c r="J13" s="14">
        <f>+'P&amp;L Mensuel'!M68</f>
        <v>8606.7708333333339</v>
      </c>
      <c r="K13" s="14">
        <f>+'P&amp;L Mensuel'!N68</f>
        <v>9356.7708333333339</v>
      </c>
      <c r="L13" s="14">
        <f>+'P&amp;L Mensuel'!O68</f>
        <v>9356.7708333333339</v>
      </c>
      <c r="M13" s="14">
        <f>+'P&amp;L Mensuel'!P68</f>
        <v>9356.7708333333339</v>
      </c>
      <c r="N13" s="14">
        <f>+'P&amp;L Mensuel'!Q68</f>
        <v>19320.3125</v>
      </c>
      <c r="O13" s="14">
        <f>+'P&amp;L Mensuel'!R68</f>
        <v>19320.3125</v>
      </c>
      <c r="P13" s="14">
        <f>+'P&amp;L Mensuel'!S68</f>
        <v>19320.3125</v>
      </c>
      <c r="Q13" s="14">
        <f>+'P&amp;L Mensuel'!T68</f>
        <v>19320.3125</v>
      </c>
      <c r="R13" s="14">
        <f>+'P&amp;L Mensuel'!U68</f>
        <v>19320.3125</v>
      </c>
      <c r="S13" s="14">
        <f>+'P&amp;L Mensuel'!V68</f>
        <v>22927.083333333332</v>
      </c>
      <c r="T13" s="14">
        <f>+'P&amp;L Mensuel'!W68</f>
        <v>22927.083333333332</v>
      </c>
      <c r="U13" s="14">
        <f>+'P&amp;L Mensuel'!X68</f>
        <v>22927.083333333332</v>
      </c>
      <c r="V13" s="14">
        <f>+'P&amp;L Mensuel'!Y68</f>
        <v>22927.083333333332</v>
      </c>
      <c r="W13" s="14">
        <f>+'P&amp;L Mensuel'!Z68</f>
        <v>29074.869791666664</v>
      </c>
      <c r="X13" s="14">
        <f>+'P&amp;L Mensuel'!AA68</f>
        <v>29074.869791666664</v>
      </c>
      <c r="Y13" s="14">
        <f>+'P&amp;L Mensuel'!AB68</f>
        <v>29074.869791666664</v>
      </c>
      <c r="Z13" s="14">
        <f>+'P&amp;L Mensuel'!AC68</f>
        <v>29074.869791666664</v>
      </c>
      <c r="AA13" s="14">
        <f>+'P&amp;L Mensuel'!AD68</f>
        <v>29074.869791666664</v>
      </c>
      <c r="AB13" s="14">
        <f>+'P&amp;L Mensuel'!AE68</f>
        <v>29074.869791666664</v>
      </c>
      <c r="AC13" s="14">
        <f>+'P&amp;L Mensuel'!AF68</f>
        <v>29074.869791666664</v>
      </c>
      <c r="AD13" s="14">
        <f>+'P&amp;L Mensuel'!AG68</f>
        <v>29074.869791666664</v>
      </c>
      <c r="AE13" s="14">
        <f>+'P&amp;L Mensuel'!AH68</f>
        <v>29074.869791666664</v>
      </c>
      <c r="AF13" s="14">
        <f>+'P&amp;L Mensuel'!AI68</f>
        <v>29074.869791666664</v>
      </c>
      <c r="AG13" s="14">
        <f>+'P&amp;L Mensuel'!AJ68</f>
        <v>29074.869791666664</v>
      </c>
      <c r="AH13" s="14">
        <f>+'P&amp;L Mensuel'!AK68</f>
        <v>29074.869791666664</v>
      </c>
      <c r="AI13" s="14">
        <f>+'P&amp;L Mensuel'!AL68</f>
        <v>30782.115885416664</v>
      </c>
      <c r="AJ13" s="14">
        <f>+'P&amp;L Mensuel'!AM68</f>
        <v>31356.079361979173</v>
      </c>
      <c r="AK13" s="14">
        <f>+'P&amp;L Mensuel'!AN68</f>
        <v>31947.261742838546</v>
      </c>
      <c r="AL13" s="14">
        <f>+'P&amp;L Mensuel'!AO68</f>
        <v>32556.179595123704</v>
      </c>
      <c r="AM13" s="14">
        <f>+'P&amp;L Mensuel'!AP68</f>
        <v>33183.364982977408</v>
      </c>
      <c r="AN13" s="14">
        <f>+'P&amp;L Mensuel'!AQ68</f>
        <v>33829.365932466731</v>
      </c>
      <c r="AO13" s="14">
        <f>+'P&amp;L Mensuel'!AR68</f>
        <v>34844.746910440736</v>
      </c>
      <c r="AP13" s="14">
        <f>+'P&amp;L Mensuel'!AS68</f>
        <v>35530.089317753955</v>
      </c>
      <c r="AQ13" s="14">
        <f>+'P&amp;L Mensuel'!AT68</f>
        <v>36235.991997286583</v>
      </c>
      <c r="AR13" s="14">
        <f>+'P&amp;L Mensuel'!AU68</f>
        <v>36963.07175720518</v>
      </c>
      <c r="AS13" s="14">
        <f>+'P&amp;L Mensuel'!AV68</f>
        <v>37711.963909921324</v>
      </c>
      <c r="AT13" s="14">
        <f>+'P&amp;L Mensuel'!AW68</f>
        <v>38483.322827218966</v>
      </c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</row>
    <row r="14" spans="1:61" x14ac:dyDescent="0.45">
      <c r="A14" t="s">
        <v>89</v>
      </c>
      <c r="B14" s="14"/>
      <c r="C14" s="14">
        <f>+'Tableau flux de trésorerie'!C14</f>
        <v>0</v>
      </c>
      <c r="D14" s="14">
        <f>+'Tableau flux de trésorerie'!D14</f>
        <v>0</v>
      </c>
      <c r="E14" s="14">
        <f>+'Tableau flux de trésorerie'!E14</f>
        <v>0</v>
      </c>
      <c r="F14" s="14">
        <f>+'Tableau flux de trésorerie'!F14</f>
        <v>2000</v>
      </c>
      <c r="G14" s="14">
        <f>+'Tableau flux de trésorerie'!G14</f>
        <v>2000</v>
      </c>
      <c r="H14" s="14">
        <f>+'Tableau flux de trésorerie'!H14</f>
        <v>2000</v>
      </c>
      <c r="I14" s="14">
        <f>+'Tableau flux de trésorerie'!I14</f>
        <v>4000</v>
      </c>
      <c r="J14" s="14">
        <f>+'Tableau flux de trésorerie'!J14</f>
        <v>8606.7708333333339</v>
      </c>
      <c r="K14" s="14">
        <f>+'Tableau flux de trésorerie'!K14</f>
        <v>9356.7708333333339</v>
      </c>
      <c r="L14" s="14">
        <f>+'Tableau flux de trésorerie'!L14</f>
        <v>9356.7708333333339</v>
      </c>
      <c r="M14" s="14">
        <f>+'Tableau flux de trésorerie'!M14</f>
        <v>9356.7708333333339</v>
      </c>
      <c r="N14" s="14">
        <f>+'Tableau flux de trésorerie'!N14</f>
        <v>19320.3125</v>
      </c>
      <c r="O14" s="14">
        <f>+'Tableau flux de trésorerie'!O14</f>
        <v>19320.3125</v>
      </c>
      <c r="P14" s="14">
        <f>+'Tableau flux de trésorerie'!P14</f>
        <v>19320.3125</v>
      </c>
      <c r="Q14" s="14">
        <f>+'Tableau flux de trésorerie'!Q14</f>
        <v>19320.3125</v>
      </c>
      <c r="R14" s="14">
        <f>+'Tableau flux de trésorerie'!R14</f>
        <v>19320.3125</v>
      </c>
      <c r="S14" s="14">
        <f>+'Tableau flux de trésorerie'!S14</f>
        <v>22927.083333333332</v>
      </c>
      <c r="T14" s="14">
        <f>+'Tableau flux de trésorerie'!T14</f>
        <v>22927.083333333332</v>
      </c>
      <c r="U14" s="14">
        <f>+'Tableau flux de trésorerie'!U14</f>
        <v>22927.083333333332</v>
      </c>
      <c r="V14" s="14">
        <f>+'Tableau flux de trésorerie'!V14</f>
        <v>22927.083333333332</v>
      </c>
      <c r="W14" s="14">
        <f>+'Tableau flux de trésorerie'!W14</f>
        <v>29074.869791666664</v>
      </c>
      <c r="X14" s="14">
        <f>+'Tableau flux de trésorerie'!X14</f>
        <v>29074.869791666664</v>
      </c>
      <c r="Y14" s="14">
        <f>+'Tableau flux de trésorerie'!Y14</f>
        <v>29074.869791666664</v>
      </c>
      <c r="Z14" s="14">
        <f>+'Tableau flux de trésorerie'!Z14</f>
        <v>29074.869791666664</v>
      </c>
      <c r="AA14" s="14">
        <f>+'Tableau flux de trésorerie'!AA14</f>
        <v>29074.869791666664</v>
      </c>
      <c r="AB14" s="14">
        <f>+'Tableau flux de trésorerie'!AB14</f>
        <v>29074.869791666664</v>
      </c>
      <c r="AC14" s="14">
        <f>+'Tableau flux de trésorerie'!AC14</f>
        <v>29074.869791666664</v>
      </c>
      <c r="AD14" s="14">
        <f>+'Tableau flux de trésorerie'!AD14</f>
        <v>29074.869791666664</v>
      </c>
      <c r="AE14" s="14">
        <f>+'Tableau flux de trésorerie'!AE14</f>
        <v>29074.869791666664</v>
      </c>
      <c r="AF14" s="14">
        <f>+'Tableau flux de trésorerie'!AF14</f>
        <v>29074.869791666664</v>
      </c>
      <c r="AG14" s="14">
        <f>+'Tableau flux de trésorerie'!AG14</f>
        <v>29074.869791666664</v>
      </c>
      <c r="AH14" s="14">
        <f>+'Tableau flux de trésorerie'!AH14</f>
        <v>29074.869791666664</v>
      </c>
      <c r="AI14" s="14">
        <f>+'Tableau flux de trésorerie'!AI14</f>
        <v>30782.115885416664</v>
      </c>
      <c r="AJ14" s="14">
        <f>+'Tableau flux de trésorerie'!AJ14</f>
        <v>31356.079361979173</v>
      </c>
      <c r="AK14" s="14">
        <f>+'Tableau flux de trésorerie'!AK14</f>
        <v>31947.261742838546</v>
      </c>
      <c r="AL14" s="14">
        <f>+'Tableau flux de trésorerie'!AL14</f>
        <v>32556.179595123704</v>
      </c>
      <c r="AM14" s="14">
        <f>+'Tableau flux de trésorerie'!AM14</f>
        <v>33183.364982977408</v>
      </c>
      <c r="AN14" s="14">
        <f>+'Tableau flux de trésorerie'!AN14</f>
        <v>33829.365932466731</v>
      </c>
      <c r="AO14" s="14">
        <f>+'Tableau flux de trésorerie'!AO14</f>
        <v>34844.746910440736</v>
      </c>
      <c r="AP14" s="14">
        <f>+'Tableau flux de trésorerie'!AP14</f>
        <v>35530.089317753955</v>
      </c>
      <c r="AQ14" s="14">
        <f>+'Tableau flux de trésorerie'!AQ14</f>
        <v>36235.991997286583</v>
      </c>
      <c r="AR14" s="14">
        <f>+'Tableau flux de trésorerie'!AR14</f>
        <v>36963.07175720518</v>
      </c>
      <c r="AS14" s="14">
        <f>+'Tableau flux de trésorerie'!AS14</f>
        <v>37711.963909921324</v>
      </c>
      <c r="AT14" s="14">
        <f>+'Tableau flux de trésorerie'!AT14</f>
        <v>38483.322827218966</v>
      </c>
      <c r="AU14" s="14">
        <f>+'Tableau flux de trésorerie'!AU14</f>
        <v>0</v>
      </c>
      <c r="AV14" s="14">
        <f>+'Tableau flux de trésorerie'!AV14</f>
        <v>0</v>
      </c>
      <c r="AW14" s="14">
        <f>+'Tableau flux de trésorerie'!AW14</f>
        <v>0</v>
      </c>
      <c r="AX14" s="14">
        <f>+'Tableau flux de trésorerie'!AX14</f>
        <v>0</v>
      </c>
      <c r="AY14" s="14">
        <f>+'Tableau flux de trésorerie'!AY14</f>
        <v>0</v>
      </c>
      <c r="AZ14" s="14">
        <f>+'Tableau flux de trésorerie'!AZ14</f>
        <v>0</v>
      </c>
      <c r="BA14" s="14">
        <f>+'Tableau flux de trésorerie'!BA14</f>
        <v>0</v>
      </c>
      <c r="BB14" s="14">
        <f>+'Tableau flux de trésorerie'!BB14</f>
        <v>0</v>
      </c>
      <c r="BC14" s="14">
        <f>+'Tableau flux de trésorerie'!BC14</f>
        <v>0</v>
      </c>
      <c r="BD14" s="14">
        <f>+'Tableau flux de trésorerie'!BD14</f>
        <v>0</v>
      </c>
      <c r="BE14" s="14">
        <f>+'Tableau flux de trésorerie'!BE14</f>
        <v>0</v>
      </c>
      <c r="BF14" s="14">
        <f>+'Tableau flux de trésorerie'!BF14</f>
        <v>0</v>
      </c>
      <c r="BG14" s="14">
        <f>+'Tableau flux de trésorerie'!BG14</f>
        <v>0</v>
      </c>
      <c r="BH14" s="14">
        <f>+'Tableau flux de trésorerie'!BH14</f>
        <v>0</v>
      </c>
      <c r="BI14" s="14">
        <f>+'Tableau flux de trésorerie'!BI14</f>
        <v>0</v>
      </c>
    </row>
    <row r="15" spans="1:61" x14ac:dyDescent="0.45">
      <c r="A15" s="60" t="s">
        <v>90</v>
      </c>
      <c r="B15" s="14"/>
      <c r="C15" s="14">
        <f>+'Tableau flux de trésorerie'!C13</f>
        <v>2516.8000000000002</v>
      </c>
      <c r="D15" s="14">
        <f>+'Tableau flux de trésorerie'!D13</f>
        <v>9610</v>
      </c>
      <c r="E15" s="14">
        <f>+'Tableau flux de trésorerie'!E13</f>
        <v>64270.377933884294</v>
      </c>
      <c r="F15" s="14">
        <f>+'Tableau flux de trésorerie'!F13</f>
        <v>17180.400000000001</v>
      </c>
      <c r="G15" s="14">
        <f>+'Tableau flux de trésorerie'!G13</f>
        <v>32886.724999999999</v>
      </c>
      <c r="H15" s="14">
        <f>+'Tableau flux de trésorerie'!H13</f>
        <v>9596.73</v>
      </c>
      <c r="I15" s="14">
        <f>+'Tableau flux de trésorerie'!I13</f>
        <v>71218.399999999994</v>
      </c>
      <c r="J15" s="14">
        <f>+'Tableau flux de trésorerie'!J13</f>
        <v>15918.4</v>
      </c>
      <c r="K15" s="14">
        <f>+'Tableau flux de trésorerie'!K13</f>
        <v>137997.4</v>
      </c>
      <c r="L15" s="14">
        <f>+'Tableau flux de trésorerie'!L13</f>
        <v>72297.399999999994</v>
      </c>
      <c r="M15" s="14">
        <f>+'Tableau flux de trésorerie'!M13</f>
        <v>12797.4</v>
      </c>
      <c r="N15" s="14">
        <f>+'Tableau flux de trésorerie'!N13</f>
        <v>55547.4</v>
      </c>
      <c r="O15" s="14">
        <f>+'Tableau flux de trésorerie'!O13</f>
        <v>56147.4</v>
      </c>
      <c r="P15" s="14">
        <f>+'Tableau flux de trésorerie'!P13</f>
        <v>67247.399999999994</v>
      </c>
      <c r="Q15" s="14">
        <f>+'Tableau flux de trésorerie'!Q13</f>
        <v>8807.4</v>
      </c>
      <c r="R15" s="14">
        <f>+'Tableau flux de trésorerie'!R13</f>
        <v>8807.4</v>
      </c>
      <c r="S15" s="14">
        <f>+'Tableau flux de trésorerie'!S13</f>
        <v>8807.4</v>
      </c>
      <c r="T15" s="14">
        <f>+'Tableau flux de trésorerie'!T13</f>
        <v>24907.4</v>
      </c>
      <c r="U15" s="14">
        <f>+'Tableau flux de trésorerie'!U13</f>
        <v>66407.399999999994</v>
      </c>
      <c r="V15" s="14">
        <f>+'Tableau flux de trésorerie'!V13</f>
        <v>11407.4</v>
      </c>
      <c r="W15" s="14">
        <f>+'Tableau flux de trésorerie'!W13</f>
        <v>11587.4</v>
      </c>
      <c r="X15" s="14">
        <f>+'Tableau flux de trésorerie'!X13</f>
        <v>12337.4</v>
      </c>
      <c r="Y15" s="14">
        <f>+'Tableau flux de trésorerie'!Y13</f>
        <v>139037.4</v>
      </c>
      <c r="Z15" s="14">
        <f>+'Tableau flux de trésorerie'!Z13</f>
        <v>19037.400000000001</v>
      </c>
      <c r="AA15" s="14">
        <f>+'Tableau flux de trésorerie'!AA13</f>
        <v>14537.4</v>
      </c>
      <c r="AB15" s="14">
        <f>+'Tableau flux de trésorerie'!AB13</f>
        <v>14537.4</v>
      </c>
      <c r="AC15" s="14">
        <f>+'Tableau flux de trésorerie'!AC13</f>
        <v>14537.4</v>
      </c>
      <c r="AD15" s="14">
        <f>+'Tableau flux de trésorerie'!AD13</f>
        <v>11437.4</v>
      </c>
      <c r="AE15" s="14">
        <f>+'Tableau flux de trésorerie'!AE13</f>
        <v>11437.4</v>
      </c>
      <c r="AF15" s="14">
        <f>+'Tableau flux de trésorerie'!AF13</f>
        <v>14537.4</v>
      </c>
      <c r="AG15" s="14">
        <f>+'Tableau flux de trésorerie'!AG13</f>
        <v>119537.4</v>
      </c>
      <c r="AH15" s="14">
        <f>+'Tableau flux de trésorerie'!AH13</f>
        <v>14537.4</v>
      </c>
      <c r="AI15" s="14">
        <f>+'Tableau flux de trésorerie'!AI13</f>
        <v>14537.4</v>
      </c>
      <c r="AJ15" s="14">
        <f>+'Tableau flux de trésorerie'!AJ13</f>
        <v>15587.4</v>
      </c>
      <c r="AK15" s="14">
        <f>+'Tableau flux de trésorerie'!AK13</f>
        <v>140587.4</v>
      </c>
      <c r="AL15" s="14">
        <f>+'Tableau flux de trésorerie'!AL13</f>
        <v>20587.400000000001</v>
      </c>
      <c r="AM15" s="14">
        <f>+'Tableau flux de trésorerie'!AM13</f>
        <v>15587.4</v>
      </c>
      <c r="AN15" s="14">
        <f>+'Tableau flux de trésorerie'!AN13</f>
        <v>15587.4</v>
      </c>
      <c r="AO15" s="14">
        <f>+'Tableau flux de trésorerie'!AO13</f>
        <v>15587.4</v>
      </c>
      <c r="AP15" s="14">
        <f>+'Tableau flux de trésorerie'!AP13</f>
        <v>11987.4</v>
      </c>
      <c r="AQ15" s="14">
        <f>+'Tableau flux de trésorerie'!AQ13</f>
        <v>11987.4</v>
      </c>
      <c r="AR15" s="14">
        <f>+'Tableau flux de trésorerie'!AR13</f>
        <v>15587.4</v>
      </c>
      <c r="AS15" s="14">
        <f>+'Tableau flux de trésorerie'!AS13</f>
        <v>20587.400000000001</v>
      </c>
      <c r="AT15" s="14">
        <f>+'Tableau flux de trésorerie'!AT13</f>
        <v>16187.4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</row>
    <row r="16" spans="1:61" x14ac:dyDescent="0.4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</row>
    <row r="17" spans="1:61" ht="18" x14ac:dyDescent="0.55000000000000004">
      <c r="A17" s="58" t="s">
        <v>106</v>
      </c>
      <c r="B17" s="14"/>
      <c r="C17" s="14">
        <f>+'Tableau flux de trésorerie'!C18</f>
        <v>0</v>
      </c>
      <c r="D17" s="14">
        <f>+'Tableau flux de trésorerie'!D18</f>
        <v>0</v>
      </c>
      <c r="E17" s="14">
        <f>+'Tableau flux de trésorerie'!E18</f>
        <v>0</v>
      </c>
      <c r="F17" s="14">
        <f>+'Tableau flux de trésorerie'!F18</f>
        <v>0</v>
      </c>
      <c r="G17" s="14">
        <f>+'Tableau flux de trésorerie'!G18</f>
        <v>0</v>
      </c>
      <c r="H17" s="14">
        <f>+'Tableau flux de trésorerie'!H18</f>
        <v>0</v>
      </c>
      <c r="I17" s="14">
        <f>+'Tableau flux de trésorerie'!I18</f>
        <v>0</v>
      </c>
      <c r="J17" s="14">
        <f>+'Tableau flux de trésorerie'!J18</f>
        <v>0</v>
      </c>
      <c r="K17" s="14">
        <f>+'Tableau flux de trésorerie'!K18</f>
        <v>5712.3471074380141</v>
      </c>
      <c r="L17" s="14">
        <f>+'Tableau flux de trésorerie'!L18</f>
        <v>6528.3966942148727</v>
      </c>
      <c r="M17" s="14">
        <f>+'Tableau flux de trésorerie'!M18</f>
        <v>7344.4462809917386</v>
      </c>
      <c r="N17" s="14">
        <f>+'Tableau flux de trésorerie'!N18</f>
        <v>8160.4958677685936</v>
      </c>
      <c r="O17" s="14">
        <f>+'Tableau flux de trésorerie'!O18</f>
        <v>13872.842975206615</v>
      </c>
      <c r="P17" s="14">
        <f>+'Tableau flux de trésorerie'!P18</f>
        <v>15668.152066115697</v>
      </c>
      <c r="Q17" s="14">
        <f>+'Tableau flux de trésorerie'!Q18</f>
        <v>17463.461157024794</v>
      </c>
      <c r="R17" s="14">
        <f>+'Tableau flux de trésorerie'!R18</f>
        <v>19258.770247933877</v>
      </c>
      <c r="S17" s="14">
        <f>+'Tableau flux de trésorerie'!S18</f>
        <v>26766.426446280995</v>
      </c>
      <c r="T17" s="14">
        <f>+'Tableau flux de trésorerie'!T18</f>
        <v>30193.834710743802</v>
      </c>
      <c r="U17" s="14">
        <f>+'Tableau flux de trésorerie'!U18</f>
        <v>33621.242975206609</v>
      </c>
      <c r="V17" s="14">
        <f>+'Tableau flux de trésorerie'!V18</f>
        <v>37538.280991735548</v>
      </c>
      <c r="W17" s="14">
        <f>+'Tableau flux de trésorerie'!W18</f>
        <v>42434.578512396693</v>
      </c>
      <c r="X17" s="14">
        <f>+'Tableau flux de trésorerie'!X18</f>
        <v>47330.876033057837</v>
      </c>
      <c r="Y17" s="14">
        <f>+'Tableau flux de trésorerie'!Y18</f>
        <v>52227.173553718982</v>
      </c>
      <c r="Z17" s="14">
        <f>+'Tableau flux de trésorerie'!Z18</f>
        <v>57123.471074380155</v>
      </c>
      <c r="AA17" s="14">
        <f>+'Tableau flux de trésorerie'!AA18</f>
        <v>62019.7685950413</v>
      </c>
      <c r="AB17" s="14">
        <f>+'Tableau flux de trésorerie'!AB18</f>
        <v>66916.066115702502</v>
      </c>
      <c r="AC17" s="14">
        <f>+'Tableau flux de trésorerie'!AC18</f>
        <v>70180.264462809893</v>
      </c>
      <c r="AD17" s="14">
        <f>+'Tableau flux de trésorerie'!AD18</f>
        <v>73444.462809917342</v>
      </c>
      <c r="AE17" s="14">
        <f>+'Tableau flux de trésorerie'!AE18</f>
        <v>78340.760330578487</v>
      </c>
      <c r="AF17" s="14">
        <f>+'Tableau flux de trésorerie'!AF18</f>
        <v>83237.05785123969</v>
      </c>
      <c r="AG17" s="14">
        <f>+'Tableau flux de trésorerie'!AG18</f>
        <v>88133.355371900834</v>
      </c>
      <c r="AH17" s="14">
        <f>+'Tableau flux de trésorerie'!AH18</f>
        <v>93029.652892561979</v>
      </c>
      <c r="AI17" s="14">
        <f>+'Tableau flux de trésorerie'!AI18</f>
        <v>98741.999999999942</v>
      </c>
      <c r="AJ17" s="14">
        <f>+'Tableau flux de trésorerie'!AJ18</f>
        <v>104454.34710743796</v>
      </c>
      <c r="AK17" s="14">
        <f>+'Tableau flux de trésorerie'!AK18</f>
        <v>110166.69421487604</v>
      </c>
      <c r="AL17" s="14">
        <f>+'Tableau flux de trésorerie'!AL18</f>
        <v>115879.04132231406</v>
      </c>
      <c r="AM17" s="14">
        <f>+'Tableau flux de trésorerie'!AM18</f>
        <v>121591.38842975209</v>
      </c>
      <c r="AN17" s="14">
        <f>+'Tableau flux de trésorerie'!AN18</f>
        <v>127303.73553719011</v>
      </c>
      <c r="AO17" s="14">
        <f>+'Tableau flux de trésorerie'!AO18</f>
        <v>131383.98347107437</v>
      </c>
      <c r="AP17" s="14">
        <f>+'Tableau flux de trésorerie'!AP18</f>
        <v>135464.23140495864</v>
      </c>
      <c r="AQ17" s="14">
        <f>+'Tableau flux de trésorerie'!AQ18</f>
        <v>141176.57851239666</v>
      </c>
      <c r="AR17" s="14">
        <f>+'Tableau flux de trésorerie'!AR18</f>
        <v>146888.92561983468</v>
      </c>
      <c r="AS17" s="14">
        <f>+'Tableau flux de trésorerie'!AS18</f>
        <v>154233.37190082646</v>
      </c>
      <c r="AT17" s="14">
        <f>+'Tableau flux de trésorerie'!AT18</f>
        <v>163209.91735537187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</row>
  </sheetData>
  <mergeCells count="3">
    <mergeCell ref="B1:M1"/>
    <mergeCell ref="N1:Y1"/>
    <mergeCell ref="Z1:AK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workbookViewId="0">
      <selection activeCell="B16" sqref="B16"/>
    </sheetView>
  </sheetViews>
  <sheetFormatPr baseColWidth="10" defaultColWidth="11.3984375" defaultRowHeight="14.25" x14ac:dyDescent="0.45"/>
  <cols>
    <col min="1" max="1" width="39.265625" bestFit="1" customWidth="1"/>
    <col min="2" max="5" width="14.265625" bestFit="1" customWidth="1"/>
    <col min="6" max="6" width="15.265625" hidden="1" customWidth="1"/>
  </cols>
  <sheetData>
    <row r="1" spans="1:6" ht="18" x14ac:dyDescent="0.55000000000000004">
      <c r="B1" s="61">
        <v>2018</v>
      </c>
      <c r="C1" s="61">
        <v>2019</v>
      </c>
      <c r="D1" s="61">
        <v>2020</v>
      </c>
      <c r="E1" s="61">
        <v>2021</v>
      </c>
      <c r="F1" s="61">
        <v>2023</v>
      </c>
    </row>
    <row r="2" spans="1:6" x14ac:dyDescent="0.45">
      <c r="A2" s="62" t="s">
        <v>91</v>
      </c>
    </row>
    <row r="3" spans="1:6" x14ac:dyDescent="0.45">
      <c r="A3" s="63" t="s">
        <v>92</v>
      </c>
      <c r="B3" s="14">
        <f>+BFR!J4</f>
        <v>-15918.400000000009</v>
      </c>
      <c r="C3" s="14">
        <f>+BFR!V4-BFR!J4</f>
        <v>42049.280991735563</v>
      </c>
      <c r="D3" s="14">
        <f>+BFR!AH4-BFR!V4</f>
        <v>52361.371900826431</v>
      </c>
      <c r="E3" s="14">
        <f>+BFR!AT4-BFR!AH4</f>
        <v>68530.264462809893</v>
      </c>
      <c r="F3" s="14"/>
    </row>
    <row r="4" spans="1:6" x14ac:dyDescent="0.45">
      <c r="A4" s="63" t="s">
        <v>93</v>
      </c>
      <c r="B4" s="14"/>
      <c r="C4" s="14"/>
      <c r="D4" s="14"/>
      <c r="E4" s="14"/>
      <c r="F4" s="14"/>
    </row>
    <row r="5" spans="1:6" x14ac:dyDescent="0.45">
      <c r="A5" s="63" t="s">
        <v>94</v>
      </c>
      <c r="B5" s="14"/>
      <c r="C5" s="14"/>
      <c r="D5" s="14"/>
      <c r="E5" s="14"/>
      <c r="F5" s="14"/>
    </row>
    <row r="6" spans="1:6" x14ac:dyDescent="0.45">
      <c r="A6" s="64" t="s">
        <v>95</v>
      </c>
      <c r="B6" s="14">
        <f>SUM(B3:B5)</f>
        <v>-15918.400000000009</v>
      </c>
      <c r="C6" s="14">
        <f t="shared" ref="C6:E6" si="0">SUM(C3:C5)</f>
        <v>42049.280991735563</v>
      </c>
      <c r="D6" s="14">
        <f t="shared" si="0"/>
        <v>52361.371900826431</v>
      </c>
      <c r="E6" s="14">
        <f t="shared" si="0"/>
        <v>68530.264462809893</v>
      </c>
      <c r="F6" s="14"/>
    </row>
    <row r="7" spans="1:6" x14ac:dyDescent="0.45">
      <c r="A7" s="63"/>
      <c r="B7" s="14"/>
      <c r="C7" s="14"/>
      <c r="D7" s="14"/>
      <c r="E7" s="14"/>
      <c r="F7" s="14"/>
    </row>
    <row r="8" spans="1:6" x14ac:dyDescent="0.45">
      <c r="A8" s="62" t="s">
        <v>96</v>
      </c>
      <c r="B8" s="14"/>
      <c r="C8" s="14"/>
      <c r="D8" s="14"/>
      <c r="E8" s="14"/>
      <c r="F8" s="14"/>
    </row>
    <row r="9" spans="1:6" x14ac:dyDescent="0.45">
      <c r="A9" s="64" t="s">
        <v>154</v>
      </c>
      <c r="B9" s="14">
        <v>115000</v>
      </c>
      <c r="C9" s="14"/>
      <c r="D9" s="14"/>
      <c r="E9" s="14"/>
      <c r="F9" s="14"/>
    </row>
    <row r="10" spans="1:6" x14ac:dyDescent="0.45">
      <c r="A10" s="64" t="s">
        <v>155</v>
      </c>
      <c r="B10" s="14">
        <v>100000</v>
      </c>
      <c r="C10" s="14">
        <v>150000</v>
      </c>
      <c r="D10" s="14">
        <v>0</v>
      </c>
      <c r="E10" s="14">
        <v>0</v>
      </c>
      <c r="F10" s="14"/>
    </row>
    <row r="11" spans="1:6" x14ac:dyDescent="0.45">
      <c r="A11" s="64" t="s">
        <v>97</v>
      </c>
      <c r="B11" s="14">
        <v>80000</v>
      </c>
      <c r="C11" s="14"/>
      <c r="D11" s="14">
        <v>0</v>
      </c>
      <c r="E11" s="14">
        <v>0</v>
      </c>
      <c r="F11" s="14"/>
    </row>
    <row r="12" spans="1:6" x14ac:dyDescent="0.45">
      <c r="A12" s="64" t="s">
        <v>98</v>
      </c>
      <c r="B12" s="14"/>
      <c r="C12" s="14">
        <v>100000</v>
      </c>
      <c r="D12" s="14"/>
      <c r="E12" s="14"/>
      <c r="F12" s="14"/>
    </row>
    <row r="13" spans="1:6" x14ac:dyDescent="0.45">
      <c r="A13" s="64"/>
      <c r="B13" s="14"/>
      <c r="C13" s="14"/>
      <c r="D13" s="14"/>
      <c r="E13" s="14"/>
      <c r="F13" s="14"/>
    </row>
    <row r="14" spans="1:6" x14ac:dyDescent="0.45">
      <c r="A14" s="63" t="s">
        <v>99</v>
      </c>
      <c r="B14" s="14">
        <f>+'P&amp;L Annuel'!B40+'P&amp;L Annuel'!B30</f>
        <v>-379802.00376721763</v>
      </c>
      <c r="C14" s="14">
        <f>+'P&amp;L Annuel'!C40+'P&amp;L Annuel'!C30</f>
        <v>56804.690378787694</v>
      </c>
      <c r="D14" s="14">
        <f>+'P&amp;L Annuel'!D40+'P&amp;L Annuel'!D30</f>
        <v>2332722.283577824</v>
      </c>
      <c r="E14" s="14">
        <f>+'P&amp;L Annuel'!E40+'P&amp;L Annuel'!E30</f>
        <v>4987675.0731775044</v>
      </c>
      <c r="F14" s="14"/>
    </row>
    <row r="15" spans="1:6" x14ac:dyDescent="0.45">
      <c r="A15" s="63" t="s">
        <v>100</v>
      </c>
      <c r="B15" s="14">
        <v>0</v>
      </c>
      <c r="C15" s="14">
        <v>0</v>
      </c>
      <c r="D15" s="14">
        <v>0</v>
      </c>
      <c r="E15" s="14"/>
      <c r="F15" s="14"/>
    </row>
    <row r="16" spans="1:6" x14ac:dyDescent="0.45">
      <c r="A16" s="63" t="s">
        <v>101</v>
      </c>
      <c r="B16" s="14">
        <f>SUM(B9:B15)</f>
        <v>-84802.003767217626</v>
      </c>
      <c r="C16" s="14">
        <f>SUM(C9:C15)</f>
        <v>306804.69037878769</v>
      </c>
      <c r="D16" s="14">
        <f>SUM(D9:D15)</f>
        <v>2332722.283577824</v>
      </c>
      <c r="E16" s="14">
        <f>SUM(E9:E15)</f>
        <v>4987675.0731775044</v>
      </c>
      <c r="F16" s="14"/>
    </row>
    <row r="17" spans="1:6" x14ac:dyDescent="0.45">
      <c r="A17" s="63"/>
      <c r="B17" s="14"/>
      <c r="C17" s="14"/>
      <c r="D17" s="14"/>
      <c r="E17" s="14"/>
      <c r="F17" s="14"/>
    </row>
    <row r="18" spans="1:6" x14ac:dyDescent="0.45">
      <c r="A18" s="63" t="s">
        <v>102</v>
      </c>
      <c r="B18" s="14">
        <f>B16-B6</f>
        <v>-68883.603767217617</v>
      </c>
      <c r="C18" s="14">
        <f>C16-C6</f>
        <v>264755.40938705212</v>
      </c>
      <c r="D18" s="14">
        <f>D16-D6</f>
        <v>2280360.9116769978</v>
      </c>
      <c r="E18" s="14">
        <f>E16-E6</f>
        <v>4919144.8087146943</v>
      </c>
      <c r="F18" s="14"/>
    </row>
    <row r="19" spans="1:6" x14ac:dyDescent="0.45">
      <c r="A19" s="63" t="s">
        <v>103</v>
      </c>
      <c r="B19" s="14">
        <v>0</v>
      </c>
      <c r="C19" s="14">
        <f>B20</f>
        <v>-68883.603767217617</v>
      </c>
      <c r="D19" s="14">
        <f t="shared" ref="D19:E19" si="1">C20</f>
        <v>195871.80561983451</v>
      </c>
      <c r="E19" s="14">
        <f t="shared" si="1"/>
        <v>2476232.7172968322</v>
      </c>
      <c r="F19" s="14"/>
    </row>
    <row r="20" spans="1:6" x14ac:dyDescent="0.45">
      <c r="A20" s="64" t="s">
        <v>104</v>
      </c>
      <c r="B20" s="14">
        <f>B19+B18</f>
        <v>-68883.603767217617</v>
      </c>
      <c r="C20" s="14">
        <f t="shared" ref="C20:E20" si="2">C19+C18</f>
        <v>195871.80561983451</v>
      </c>
      <c r="D20" s="14">
        <f t="shared" si="2"/>
        <v>2476232.7172968322</v>
      </c>
      <c r="E20" s="14">
        <f t="shared" si="2"/>
        <v>7395377.5260115266</v>
      </c>
      <c r="F20" s="14"/>
    </row>
    <row r="21" spans="1:6" x14ac:dyDescent="0.45">
      <c r="A21" s="64"/>
      <c r="B21" s="14"/>
      <c r="C21" s="14"/>
      <c r="D21" s="14"/>
      <c r="E21" s="14"/>
      <c r="F21" s="14"/>
    </row>
    <row r="22" spans="1:6" x14ac:dyDescent="0.45">
      <c r="B22" s="14"/>
      <c r="C22" s="14"/>
      <c r="D22" s="14"/>
      <c r="E22" s="14"/>
      <c r="F22" s="14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Hypothèses</vt:lpstr>
      <vt:lpstr>Masse salariale</vt:lpstr>
      <vt:lpstr>P&amp;L Mensuel</vt:lpstr>
      <vt:lpstr>P&amp;L Annuel</vt:lpstr>
      <vt:lpstr>Tableau flux de trésorerie</vt:lpstr>
      <vt:lpstr>BFR</vt:lpstr>
      <vt:lpstr>Plan de financement</vt:lpstr>
      <vt:lpstr>Besoin_de_financement_avec_15__de_marge_de_sécurité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Arrigo</dc:creator>
  <cp:lastModifiedBy>Salvatore Arrigo</cp:lastModifiedBy>
  <cp:lastPrinted>2018-05-02T11:53:34Z</cp:lastPrinted>
  <dcterms:created xsi:type="dcterms:W3CDTF">2018-03-04T13:22:23Z</dcterms:created>
  <dcterms:modified xsi:type="dcterms:W3CDTF">2018-12-13T10:16:46Z</dcterms:modified>
</cp:coreProperties>
</file>