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Overview" sheetId="1" r:id="rId4"/>
    <sheet name="2022" sheetId="2" r:id="rId5"/>
    <sheet name="2023" sheetId="3" r:id="rId6"/>
    <sheet name=" 2024" sheetId="4" r:id="rId7"/>
    <sheet name="Financiering" sheetId="5" r:id="rId8"/>
    <sheet name="Prix de ventes + marges " sheetId="6" r:id="rId9"/>
  </sheets>
</workbook>
</file>

<file path=xl/sharedStrings.xml><?xml version="1.0" encoding="utf-8"?>
<sst xmlns="http://schemas.openxmlformats.org/spreadsheetml/2006/main" uniqueCount="151">
  <si>
    <t>Détail des feuilles excell</t>
  </si>
  <si>
    <t>Resultatenrekening</t>
  </si>
  <si>
    <r>
      <rPr>
        <u val="single"/>
        <sz val="11"/>
        <color indexed="9"/>
        <rFont val="Calibri"/>
      </rPr>
      <t>Scale up top line and manager salary assumptions</t>
    </r>
  </si>
  <si>
    <t xml:space="preserve">Utilisation du financement  + besoin de financement </t>
  </si>
  <si>
    <t xml:space="preserve">Bijzonderheden van de uitgaven per product (productie) </t>
  </si>
  <si>
    <t xml:space="preserve">Detail van de marges per sector </t>
  </si>
  <si>
    <t>Aantal verkochte producten (totaal)</t>
  </si>
  <si>
    <t>Aantal verkochte producten ( web)</t>
  </si>
  <si>
    <t>Socosmetica</t>
  </si>
  <si>
    <t>Opmerkingen:</t>
  </si>
  <si>
    <t xml:space="preserve">Januari </t>
  </si>
  <si>
    <t xml:space="preserve">Februari </t>
  </si>
  <si>
    <t>Maart</t>
  </si>
  <si>
    <t xml:space="preserve">April </t>
  </si>
  <si>
    <t>Maar</t>
  </si>
  <si>
    <t>Juni</t>
  </si>
  <si>
    <t>Juli</t>
  </si>
  <si>
    <t xml:space="preserve">Augustus </t>
  </si>
  <si>
    <t>September</t>
  </si>
  <si>
    <t>Oktober</t>
  </si>
  <si>
    <t>November</t>
  </si>
  <si>
    <t xml:space="preserve">December </t>
  </si>
  <si>
    <t>TOTAL 2022</t>
  </si>
  <si>
    <t>%</t>
  </si>
  <si>
    <t xml:space="preserve">1. Een onafhankelijke vertegenwoordiger zal in de komende weken worden aangeworven met de volgende vergoeding (75€ voor een eerste installatie in PV en 10€ voor elke herbevoorrading) </t>
  </si>
  <si>
    <t xml:space="preserve">Web inkomen </t>
  </si>
  <si>
    <t xml:space="preserve">Inkomsten uit verkooppunten </t>
  </si>
  <si>
    <t xml:space="preserve">Centraal aankoopinkomen </t>
  </si>
  <si>
    <t xml:space="preserve">Inkomen Importeur </t>
  </si>
  <si>
    <t>2. De lancering van Sosport begin oktober zal het mogelijk maken displays op te stellen in sporthallen</t>
  </si>
  <si>
    <t>Kosten van grondstoffen</t>
  </si>
  <si>
    <t>3. De gemiddelde verkoopprijs per product op het net bedraagt € 8,896 inc.</t>
  </si>
  <si>
    <t>Kosten van productverpakking</t>
  </si>
  <si>
    <t xml:space="preserve">Kosten afhalen web verkoop </t>
  </si>
  <si>
    <t>Totale variabele kosten per product</t>
  </si>
  <si>
    <t>% van Shopify verkoop</t>
  </si>
  <si>
    <t>4. Le prix de vente en point de vente et aux importateurs est de 4€ HTVA</t>
  </si>
  <si>
    <t>Opnieuw bevoorraden commissie (commercieel)</t>
  </si>
  <si>
    <t>Installatiecommissie (commercieel)</t>
  </si>
  <si>
    <t xml:space="preserve">Displays (tijdens installatie) </t>
  </si>
  <si>
    <t>5. De verkoopprijs in de inkoopcentra van de supermarkten is €3,75</t>
  </si>
  <si>
    <t xml:space="preserve">Totale variabele kosten van de verkoop </t>
  </si>
  <si>
    <t>Totale kosten van verkopen</t>
  </si>
  <si>
    <t xml:space="preserve">6. De implementatie in de centrale inkoopeenheden kan in de nabije toekomst gebeuren, vergaderingen met: carrefour, Spar, match, casino en Delhaize zijn aan de gang </t>
  </si>
  <si>
    <t>Brutomarge op de verkoop</t>
  </si>
  <si>
    <t xml:space="preserve">7. Dit financiële plan werd gemaakt op een pessimistische basis van verkoop </t>
  </si>
  <si>
    <t>Management Directeur Salaris</t>
  </si>
  <si>
    <t>Deeltijds marketing ontwikkeling salaris</t>
  </si>
  <si>
    <t xml:space="preserve">Opslag </t>
  </si>
  <si>
    <t xml:space="preserve">8. Dit financiële plan is gebaseerd op een fondsenwerving van 50.000 euro, waarmee het tekort van 13.449 euro in het eerste jaar ruimschoots zal worden gedekt </t>
  </si>
  <si>
    <t>Deeltijds O&amp;O salaris</t>
  </si>
  <si>
    <t>Vaste exploitatiekosten</t>
  </si>
  <si>
    <t>Influenceurs ( égérie )</t>
  </si>
  <si>
    <t>9. Voor influencers hebben we al een contract met 3 en er zouden er nog 2 moeten volgen</t>
  </si>
  <si>
    <t>Ads</t>
  </si>
  <si>
    <t>Communautair beheer</t>
  </si>
  <si>
    <t xml:space="preserve">Spot Tv </t>
  </si>
  <si>
    <t xml:space="preserve">10. Uitgaande van een breed consumptiemonster, worden voor elke gekochte scheerbeurt: 1 205 huiden en 1 225 pures gekocht in onze verkoopberekeningen </t>
  </si>
  <si>
    <t xml:space="preserve">Reclame video's </t>
  </si>
  <si>
    <t xml:space="preserve">Fysieke media </t>
  </si>
  <si>
    <t>Abonnementen (adobe, shopify...)</t>
  </si>
  <si>
    <t xml:space="preserve">11. De bezoldiging houdt rekening met de verschillende voordelen in natura (auto, mobiele telefoon, enz.) en met alle sociale lasten. </t>
  </si>
  <si>
    <t>Vaste marketingkosten</t>
  </si>
  <si>
    <t>Kantoor</t>
  </si>
  <si>
    <t xml:space="preserve">12. De doelstelling van de huidige bestuurders is om de winst voortdurend te herinvesteren en eerlijk te verdelen onder nieuwe aandeelhouders om de groei te versnellen </t>
  </si>
  <si>
    <t>Verzekering</t>
  </si>
  <si>
    <t xml:space="preserve">Accountant </t>
  </si>
  <si>
    <t xml:space="preserve">Advocaat ( voorzieningen ) </t>
  </si>
  <si>
    <t>13. De importeur met wie wij een overeenkomst hebben gesloten is een grote Belgische importeur die deuren voor ons kan openen in Benin (inclusief Nigeria met meer dan 220.000.000 inwoners)</t>
  </si>
  <si>
    <t>Verbruiksgoederen</t>
  </si>
  <si>
    <t xml:space="preserve">Proximus </t>
  </si>
  <si>
    <t xml:space="preserve">Vaste administratieve kosten </t>
  </si>
  <si>
    <t xml:space="preserve">Totaal vaste kosten </t>
  </si>
  <si>
    <t>Extraordinary result (income - expenses)</t>
  </si>
  <si>
    <t>EBITDA</t>
  </si>
  <si>
    <t>Auto (48 maanden)</t>
  </si>
  <si>
    <t>Afschrijvingen, amortisatie</t>
  </si>
  <si>
    <t>EBIT</t>
  </si>
  <si>
    <t>Financiële resultaten (inkomsten - uitgaven)</t>
  </si>
  <si>
    <t>Resultaat vóór belastingen</t>
  </si>
  <si>
    <t>Belastingen</t>
  </si>
  <si>
    <t>Nettoresultaat</t>
  </si>
  <si>
    <t>JAN</t>
  </si>
  <si>
    <t>FEV</t>
  </si>
  <si>
    <t>MAR</t>
  </si>
  <si>
    <t>AVR</t>
  </si>
  <si>
    <t>MAI</t>
  </si>
  <si>
    <t>JUIN</t>
  </si>
  <si>
    <t>JUIL</t>
  </si>
  <si>
    <t>AOUT</t>
  </si>
  <si>
    <t>SEPT</t>
  </si>
  <si>
    <t>OCT</t>
  </si>
  <si>
    <t>NOV</t>
  </si>
  <si>
    <t>DEC</t>
  </si>
  <si>
    <t xml:space="preserve">Directeur Salarisbeheer ( clara vecchio ) </t>
  </si>
  <si>
    <t>Salaris lucas heremans ( marktontwikkeling )</t>
  </si>
  <si>
    <t xml:space="preserve">Salaris marketing directeur </t>
  </si>
  <si>
    <t>Salaris deeltijds Patrick Chobert ( O&amp;O )</t>
  </si>
  <si>
    <t>Vaste operationele kosten</t>
  </si>
  <si>
    <t>Beïnvloeders</t>
  </si>
  <si>
    <t>Advertenties</t>
  </si>
  <si>
    <t xml:space="preserve">TV-spot </t>
  </si>
  <si>
    <t xml:space="preserve">Video-advertenties </t>
  </si>
  <si>
    <t xml:space="preserve">Verbruiksartikelen </t>
  </si>
  <si>
    <t xml:space="preserve">Totale vaste kosten </t>
  </si>
  <si>
    <t>Auto (48 mois)</t>
  </si>
  <si>
    <t>Afschrijvingen, waardeverminderingen</t>
  </si>
  <si>
    <t>Financiële resultaten (opbrengsten - kosten)</t>
  </si>
  <si>
    <t>Resultaat voor belastingen</t>
  </si>
  <si>
    <t>Netto resultaat</t>
  </si>
  <si>
    <t>Nombre de produits écoulés ( total )</t>
  </si>
  <si>
    <t>Nombre de produits écoulés ( web)</t>
  </si>
  <si>
    <r>
      <rPr>
        <sz val="11"/>
        <color indexed="8"/>
        <rFont val="Avenir Heavy"/>
      </rPr>
      <t>← ACTUAL</t>
    </r>
  </si>
  <si>
    <r>
      <rPr>
        <sz val="11"/>
        <color indexed="8"/>
        <rFont val="Avenir Heavy"/>
      </rPr>
      <t>FORECAST →</t>
    </r>
  </si>
  <si>
    <t xml:space="preserve">Webinkomsten </t>
  </si>
  <si>
    <t xml:space="preserve">Centrale inkoopinkomsten </t>
  </si>
  <si>
    <t xml:space="preserve">Inkomsten importeur </t>
  </si>
  <si>
    <t xml:space="preserve">Netto-omzet </t>
  </si>
  <si>
    <t xml:space="preserve">Grondstofkosten </t>
  </si>
  <si>
    <t xml:space="preserve">Kosten van pick&amp;up web verkoop </t>
  </si>
  <si>
    <t xml:space="preserve">% van shopify verkoop </t>
  </si>
  <si>
    <t>Herbevoorradingscommissie ( commercieel )</t>
  </si>
  <si>
    <t>Installatiecommissie ( commercieel )</t>
  </si>
  <si>
    <t>Totaal verkoopkosten</t>
  </si>
  <si>
    <t xml:space="preserve">Brutomarge op de verkoop </t>
  </si>
  <si>
    <t xml:space="preserve">Salaris logistiek manager </t>
  </si>
  <si>
    <t xml:space="preserve">Studenten ( 3 ) </t>
  </si>
  <si>
    <t>Salaris deeltijds Patrick Chobert</t>
  </si>
  <si>
    <t>Beïnvloeders ( muze )</t>
  </si>
  <si>
    <t>Deskat ( ontwikkeling + beheer van influencers )</t>
  </si>
  <si>
    <t>Productie</t>
  </si>
  <si>
    <t>€</t>
  </si>
  <si>
    <t>O&amp;O</t>
  </si>
  <si>
    <t xml:space="preserve">Agent commercieel </t>
  </si>
  <si>
    <t>Marketing digitaal</t>
  </si>
  <si>
    <t xml:space="preserve">Marketing fysiek </t>
  </si>
  <si>
    <t>Licentie</t>
  </si>
  <si>
    <t>Marges</t>
  </si>
  <si>
    <t>Soshave</t>
  </si>
  <si>
    <t>Sopure</t>
  </si>
  <si>
    <t>Sosport</t>
  </si>
  <si>
    <t>Soskin</t>
  </si>
  <si>
    <t>Kostprijs</t>
  </si>
  <si>
    <t>Webverkoopprijs</t>
  </si>
  <si>
    <t xml:space="preserve">Webmarges </t>
  </si>
  <si>
    <t>Verkoopprijs PV</t>
  </si>
  <si>
    <t>PV-marge</t>
  </si>
  <si>
    <t>Invoer verkoopprijs</t>
  </si>
  <si>
    <t xml:space="preserve">Marge van de importeur </t>
  </si>
  <si>
    <t>Centrale aankoopprijs</t>
  </si>
  <si>
    <t xml:space="preserve">Centrale aankoopmarge </t>
  </si>
</sst>
</file>

<file path=xl/styles.xml><?xml version="1.0" encoding="utf-8"?>
<styleSheet xmlns="http://schemas.openxmlformats.org/spreadsheetml/2006/main">
  <numFmts count="5">
    <numFmt numFmtId="0" formatCode="General"/>
    <numFmt numFmtId="59" formatCode="#,##0&quot; €&quot;"/>
    <numFmt numFmtId="60" formatCode="0.0%"/>
    <numFmt numFmtId="61" formatCode="0.0_);\(0.0\)"/>
    <numFmt numFmtId="62" formatCode="#,##0%"/>
  </numFmts>
  <fonts count="17">
    <font>
      <sz val="11"/>
      <color indexed="8"/>
      <name val="Calibri"/>
    </font>
    <font>
      <sz val="12"/>
      <color indexed="8"/>
      <name val="Helvetica Neue"/>
    </font>
    <font>
      <sz val="14"/>
      <color indexed="8"/>
      <name val="Calibri"/>
    </font>
    <font>
      <u val="single"/>
      <sz val="12"/>
      <color indexed="8"/>
      <name val="Avenir Heavy"/>
    </font>
    <font>
      <sz val="11"/>
      <color indexed="8"/>
      <name val="Avenir Book"/>
    </font>
    <font>
      <u val="single"/>
      <sz val="11"/>
      <color indexed="9"/>
      <name val="Calibri"/>
    </font>
    <font>
      <i val="1"/>
      <sz val="10"/>
      <color indexed="8"/>
      <name val="Calibri"/>
    </font>
    <font>
      <b val="1"/>
      <u val="single"/>
      <sz val="12"/>
      <color indexed="8"/>
      <name val="Calibri"/>
    </font>
    <font>
      <b val="1"/>
      <sz val="11"/>
      <color indexed="8"/>
      <name val="Calibri"/>
    </font>
    <font>
      <b val="1"/>
      <u val="single"/>
      <sz val="11"/>
      <color indexed="8"/>
      <name val="Calibri"/>
    </font>
    <font>
      <sz val="11"/>
      <color indexed="8"/>
      <name val="Avenir Heavy"/>
    </font>
    <font>
      <sz val="16"/>
      <color indexed="8"/>
      <name val="Avenir Heavy"/>
    </font>
    <font>
      <sz val="18"/>
      <color indexed="8"/>
      <name val="Avenir Heavy"/>
    </font>
    <font>
      <sz val="9"/>
      <color indexed="12"/>
      <name val="Avenir Book"/>
    </font>
    <font>
      <sz val="18"/>
      <color indexed="8"/>
      <name val="Calibri"/>
    </font>
    <font>
      <sz val="12"/>
      <color indexed="8"/>
      <name val="Helvetica Neue Light"/>
    </font>
    <font>
      <sz val="35"/>
      <color indexed="8"/>
      <name val="Avenir Heavy"/>
    </font>
  </fonts>
  <fills count="16">
    <fill>
      <patternFill patternType="none"/>
    </fill>
    <fill>
      <patternFill patternType="gray125"/>
    </fill>
    <fill>
      <patternFill patternType="solid">
        <fgColor indexed="10"/>
        <bgColor auto="1"/>
      </patternFill>
    </fill>
    <fill>
      <patternFill patternType="solid">
        <fgColor indexed="14"/>
        <bgColor auto="1"/>
      </patternFill>
    </fill>
    <fill>
      <patternFill patternType="solid">
        <fgColor indexed="15"/>
        <bgColor auto="1"/>
      </patternFill>
    </fill>
    <fill>
      <patternFill patternType="solid">
        <fgColor indexed="23"/>
        <bgColor auto="1"/>
      </patternFill>
    </fill>
    <fill>
      <patternFill patternType="solid">
        <fgColor indexed="25"/>
        <bgColor auto="1"/>
      </patternFill>
    </fill>
    <fill>
      <patternFill patternType="solid">
        <fgColor indexed="8"/>
        <bgColor auto="1"/>
      </patternFill>
    </fill>
    <fill>
      <gradientFill type="linear" degree="90">
        <stop position="0">
          <color rgb="ffafcae9"/>
        </stop>
        <stop position="0.5">
          <color rgb="ffa1c0e4"/>
        </stop>
        <stop position="1">
          <color rgb="ff91b8e4"/>
        </stop>
      </gradientFill>
    </fill>
    <fill>
      <patternFill patternType="solid">
        <fgColor indexed="26"/>
        <bgColor auto="1"/>
      </patternFill>
    </fill>
    <fill>
      <gradientFill type="linear" degree="90">
        <stop position="0">
          <color rgb="fff6bca2"/>
        </stop>
        <stop position="0.5">
          <color rgb="fff4b093"/>
        </stop>
        <stop position="1">
          <color rgb="fff7a47f"/>
        </stop>
      </gradientFill>
    </fill>
    <fill>
      <patternFill patternType="solid">
        <fgColor indexed="27"/>
        <bgColor auto="1"/>
      </patternFill>
    </fill>
    <fill>
      <patternFill patternType="solid">
        <fgColor indexed="28"/>
        <bgColor auto="1"/>
      </patternFill>
    </fill>
    <fill>
      <gradientFill type="linear" degree="90">
        <stop position="0">
          <color rgb="fffeda9a"/>
        </stop>
        <stop position="0.5">
          <color rgb="ffffd58c"/>
        </stop>
        <stop position="1">
          <color rgb="fffed078"/>
        </stop>
      </gradientFill>
    </fill>
    <fill>
      <patternFill patternType="solid">
        <fgColor indexed="29"/>
        <bgColor auto="1"/>
      </patternFill>
    </fill>
    <fill>
      <gradientFill type="linear" degree="90">
        <stop position="0">
          <color rgb="ffb4d4a5"/>
        </stop>
        <stop position="0.5">
          <color rgb="ffa8cd97"/>
        </stop>
        <stop position="1">
          <color rgb="ff9bc984"/>
        </stop>
      </gradientFill>
    </fill>
  </fills>
  <borders count="50">
    <border>
      <left/>
      <right/>
      <top/>
      <bottom/>
      <diagonal/>
    </border>
    <border>
      <left/>
      <right/>
      <top/>
      <bottom/>
      <diagonal/>
    </border>
    <border>
      <left/>
      <right/>
      <top/>
      <bottom>
        <color indexed="8"/>
      </bottom>
      <diagonal/>
    </border>
    <border>
      <left/>
      <right>
        <color indexed="8"/>
      </right>
      <top/>
      <bottom/>
      <diagonal/>
    </border>
    <border>
      <left>
        <color indexed="8"/>
      </left>
      <right>
        <color indexed="8"/>
      </right>
      <top>
        <color indexed="8"/>
      </top>
      <bottom>
        <color indexed="8"/>
      </bottom>
      <diagonal/>
    </border>
    <border>
      <left>
        <color indexed="8"/>
      </left>
      <right/>
      <top/>
      <bottom/>
      <diagonal/>
    </border>
    <border>
      <left/>
      <right/>
      <top>
        <color indexed="8"/>
      </top>
      <bottom/>
      <diagonal/>
    </border>
    <border>
      <left style="thin">
        <color indexed="11"/>
      </left>
      <right/>
      <top style="thin">
        <color indexed="11"/>
      </top>
      <bottom/>
      <diagonal/>
    </border>
    <border>
      <left/>
      <right/>
      <top style="thin">
        <color indexed="11"/>
      </top>
      <bottom style="thin">
        <color indexed="8"/>
      </bottom>
      <diagonal/>
    </border>
    <border>
      <left/>
      <right/>
      <top style="thin">
        <color indexed="11"/>
      </top>
      <bottom/>
      <diagonal/>
    </border>
    <border>
      <left/>
      <right style="thin">
        <color indexed="11"/>
      </right>
      <top style="thin">
        <color indexed="11"/>
      </top>
      <bottom/>
      <diagonal/>
    </border>
    <border>
      <left style="thin">
        <color indexed="11"/>
      </left>
      <right/>
      <top/>
      <bottom/>
      <diagonal/>
    </border>
    <border>
      <left/>
      <right/>
      <top style="thin">
        <color indexed="8"/>
      </top>
      <bottom/>
      <diagonal/>
    </border>
    <border>
      <left/>
      <right style="thin">
        <color indexed="11"/>
      </right>
      <top/>
      <bottom/>
      <diagonal/>
    </border>
    <border>
      <left/>
      <right/>
      <top/>
      <bottom style="thin">
        <color indexed="12"/>
      </bottom>
      <diagonal/>
    </border>
    <border>
      <left/>
      <right style="medium">
        <color indexed="8"/>
      </right>
      <top/>
      <bottom style="thin">
        <color indexed="12"/>
      </bottom>
      <diagonal/>
    </border>
    <border>
      <left style="medium">
        <color indexed="8"/>
      </left>
      <right/>
      <top/>
      <bottom style="thin">
        <color indexed="12"/>
      </bottom>
      <diagonal/>
    </border>
    <border>
      <left/>
      <right/>
      <top/>
      <bottom style="medium">
        <color indexed="8"/>
      </bottom>
      <diagonal/>
    </border>
    <border>
      <left/>
      <right style="mediumDashed">
        <color indexed="13"/>
      </right>
      <top/>
      <bottom/>
      <diagonal/>
    </border>
    <border>
      <left style="mediumDashed">
        <color indexed="13"/>
      </left>
      <right style="mediumDashed">
        <color indexed="13"/>
      </right>
      <top style="thin">
        <color indexed="12"/>
      </top>
      <bottom/>
      <diagonal/>
    </border>
    <border>
      <left style="mediumDashed">
        <color indexed="13"/>
      </left>
      <right style="medium">
        <color indexed="8"/>
      </right>
      <top style="thin">
        <color indexed="12"/>
      </top>
      <bottom/>
      <diagonal/>
    </border>
    <border>
      <left style="medium">
        <color indexed="8"/>
      </left>
      <right/>
      <top style="medium">
        <color indexed="8"/>
      </top>
      <bottom/>
      <diagonal/>
    </border>
    <border>
      <left/>
      <right style="medium">
        <color indexed="8"/>
      </right>
      <top style="medium">
        <color indexed="8"/>
      </top>
      <bottom/>
      <diagonal/>
    </border>
    <border>
      <left style="medium">
        <color indexed="8"/>
      </left>
      <right/>
      <top/>
      <bottom/>
      <diagonal/>
    </border>
    <border>
      <left/>
      <right style="medium">
        <color indexed="12"/>
      </right>
      <top/>
      <bottom/>
      <diagonal/>
    </border>
    <border>
      <left style="medium">
        <color indexed="12"/>
      </left>
      <right/>
      <top/>
      <bottom/>
      <diagonal/>
    </border>
    <border>
      <left/>
      <right style="medium">
        <color indexed="8"/>
      </right>
      <top/>
      <bottom/>
      <diagonal/>
    </border>
    <border>
      <left style="medium">
        <color indexed="12"/>
      </left>
      <right>
        <color indexed="8"/>
      </right>
      <top/>
      <bottom/>
      <diagonal/>
    </border>
    <border>
      <left>
        <color indexed="8"/>
      </left>
      <right>
        <color indexed="8"/>
      </right>
      <top/>
      <bottom/>
      <diagonal/>
    </border>
    <border>
      <left>
        <color indexed="8"/>
      </left>
      <right style="medium">
        <color indexed="12"/>
      </right>
      <top/>
      <bottom/>
      <diagonal/>
    </border>
    <border>
      <left style="medium">
        <color indexed="8"/>
      </left>
      <right/>
      <top/>
      <bottom style="medium">
        <color indexed="8"/>
      </bottom>
      <diagonal/>
    </border>
    <border>
      <left/>
      <right style="medium">
        <color indexed="8"/>
      </right>
      <top/>
      <bottom style="medium">
        <color indexed="8"/>
      </bottom>
      <diagonal/>
    </border>
    <border>
      <left/>
      <right/>
      <top style="medium">
        <color indexed="8"/>
      </top>
      <bottom/>
      <diagonal/>
    </border>
    <border>
      <left style="thin">
        <color indexed="11"/>
      </left>
      <right/>
      <top/>
      <bottom style="thin">
        <color indexed="11"/>
      </bottom>
      <diagonal/>
    </border>
    <border>
      <left/>
      <right/>
      <top/>
      <bottom style="thin">
        <color indexed="11"/>
      </bottom>
      <diagonal/>
    </border>
    <border>
      <left/>
      <right style="thin">
        <color indexed="11"/>
      </right>
      <top/>
      <bottom style="thin">
        <color indexed="11"/>
      </bottom>
      <diagonal/>
    </border>
    <border>
      <left/>
      <right style="thin">
        <color indexed="11"/>
      </right>
      <top style="thin">
        <color indexed="11"/>
      </top>
      <bottom style="thin">
        <color indexed="8"/>
      </bottom>
      <diagonal/>
    </border>
    <border>
      <left/>
      <right style="thin">
        <color indexed="11"/>
      </right>
      <top style="thin">
        <color indexed="8"/>
      </top>
      <bottom/>
      <diagonal/>
    </border>
    <border>
      <left/>
      <right style="thin">
        <color indexed="11"/>
      </right>
      <top/>
      <bottom style="medium">
        <color indexed="8"/>
      </bottom>
      <diagonal/>
    </border>
    <border>
      <left style="mediumDashed">
        <color indexed="13"/>
      </left>
      <right style="medium">
        <color indexed="12"/>
      </right>
      <top style="thin">
        <color indexed="12"/>
      </top>
      <bottom/>
      <diagonal/>
    </border>
    <border>
      <left style="medium">
        <color indexed="12"/>
      </left>
      <right style="mediumDashed">
        <color indexed="13"/>
      </right>
      <top style="thin">
        <color indexed="12"/>
      </top>
      <bottom/>
      <diagonal/>
    </border>
    <border>
      <left style="medium">
        <color indexed="12"/>
      </left>
      <right style="medium">
        <color indexed="12"/>
      </right>
      <top/>
      <bottom/>
      <diagonal/>
    </border>
    <border>
      <left/>
      <right style="thin">
        <color indexed="11"/>
      </right>
      <top style="medium">
        <color indexed="8"/>
      </top>
      <bottom/>
      <diagonal/>
    </border>
    <border>
      <left style="thin">
        <color indexed="16"/>
      </left>
      <right style="thin">
        <color indexed="16"/>
      </right>
      <top style="thin">
        <color indexed="16"/>
      </top>
      <bottom style="thin">
        <color indexed="16"/>
      </bottom>
      <diagonal/>
    </border>
    <border>
      <left style="thin">
        <color indexed="16"/>
      </left>
      <right style="thin">
        <color indexed="16"/>
      </right>
      <top style="thin">
        <color indexed="16"/>
      </top>
      <bottom style="thin">
        <color indexed="24"/>
      </bottom>
      <diagonal/>
    </border>
    <border>
      <left style="thin">
        <color indexed="16"/>
      </left>
      <right style="thin">
        <color indexed="24"/>
      </right>
      <top style="thin">
        <color indexed="24"/>
      </top>
      <bottom style="thin">
        <color indexed="16"/>
      </bottom>
      <diagonal/>
    </border>
    <border>
      <left style="thin">
        <color indexed="24"/>
      </left>
      <right style="thin">
        <color indexed="16"/>
      </right>
      <top style="thin">
        <color indexed="24"/>
      </top>
      <bottom style="thin">
        <color indexed="16"/>
      </bottom>
      <diagonal/>
    </border>
    <border>
      <left style="thin">
        <color indexed="16"/>
      </left>
      <right style="thin">
        <color indexed="16"/>
      </right>
      <top style="thin">
        <color indexed="24"/>
      </top>
      <bottom style="thin">
        <color indexed="16"/>
      </bottom>
      <diagonal/>
    </border>
    <border>
      <left style="thin">
        <color indexed="16"/>
      </left>
      <right style="thin">
        <color indexed="24"/>
      </right>
      <top style="thin">
        <color indexed="16"/>
      </top>
      <bottom style="thin">
        <color indexed="16"/>
      </bottom>
      <diagonal/>
    </border>
    <border>
      <left style="thin">
        <color indexed="24"/>
      </left>
      <right style="thin">
        <color indexed="16"/>
      </right>
      <top style="thin">
        <color indexed="16"/>
      </top>
      <bottom style="thin">
        <color indexed="16"/>
      </bottom>
      <diagonal/>
    </border>
  </borders>
  <cellStyleXfs count="1">
    <xf numFmtId="0" fontId="0" applyNumberFormat="0" applyFont="1" applyFill="0" applyBorder="0" applyAlignment="1" applyProtection="0">
      <alignment vertical="bottom"/>
    </xf>
  </cellStyleXfs>
  <cellXfs count="189">
    <xf numFmtId="0" fontId="0" applyNumberFormat="0" applyFont="1" applyFill="0" applyBorder="0" applyAlignment="1" applyProtection="0">
      <alignment vertical="bottom"/>
    </xf>
    <xf numFmtId="0" fontId="0" applyNumberFormat="1" applyFont="1" applyFill="0" applyBorder="0" applyAlignment="1" applyProtection="0">
      <alignment vertical="bottom"/>
    </xf>
    <xf numFmtId="0" fontId="0" borderId="1" applyNumberFormat="0" applyFont="1" applyFill="0" applyBorder="1" applyAlignment="1" applyProtection="0">
      <alignment vertical="bottom"/>
    </xf>
    <xf numFmtId="49" fontId="3" borderId="1" applyNumberFormat="1" applyFont="1" applyFill="0" applyBorder="1" applyAlignment="1" applyProtection="0">
      <alignment vertical="bottom"/>
    </xf>
    <xf numFmtId="0" fontId="0" borderId="1" applyNumberFormat="1" applyFont="1" applyFill="0" applyBorder="1" applyAlignment="1" applyProtection="0">
      <alignment vertical="bottom"/>
    </xf>
    <xf numFmtId="49" fontId="4" borderId="1" applyNumberFormat="1" applyFont="1" applyFill="0" applyBorder="1" applyAlignment="1" applyProtection="0">
      <alignment horizontal="left" vertical="bottom"/>
    </xf>
    <xf numFmtId="49" fontId="0" borderId="1" applyNumberFormat="1" applyFont="1" applyFill="0" applyBorder="1" applyAlignment="1" applyProtection="0">
      <alignment horizontal="left" vertical="bottom"/>
    </xf>
    <xf numFmtId="0" fontId="0" borderId="1" applyNumberFormat="0" applyFont="1" applyFill="0" applyBorder="1" applyAlignment="1" applyProtection="0">
      <alignment horizontal="left" vertical="bottom"/>
    </xf>
    <xf numFmtId="0" fontId="6" borderId="1" applyNumberFormat="0" applyFont="1" applyFill="0" applyBorder="1" applyAlignment="1" applyProtection="0">
      <alignment vertical="bottom"/>
    </xf>
    <xf numFmtId="0" fontId="7" borderId="1" applyNumberFormat="0" applyFont="1" applyFill="0" applyBorder="1" applyAlignment="1" applyProtection="0">
      <alignment vertical="bottom"/>
    </xf>
    <xf numFmtId="0" fontId="7" borderId="2" applyNumberFormat="0" applyFont="1" applyFill="0" applyBorder="1" applyAlignment="1" applyProtection="0">
      <alignment vertical="bottom"/>
    </xf>
    <xf numFmtId="0" fontId="0" borderId="2" applyNumberFormat="0" applyFont="1" applyFill="0" applyBorder="1" applyAlignment="1" applyProtection="0">
      <alignment vertical="bottom"/>
    </xf>
    <xf numFmtId="0" fontId="0" borderId="3" applyNumberFormat="0" applyFont="1" applyFill="0" applyBorder="1" applyAlignment="1" applyProtection="0">
      <alignment vertical="bottom"/>
    </xf>
    <xf numFmtId="0" fontId="0" borderId="4" applyNumberFormat="0" applyFont="1" applyFill="0" applyBorder="1" applyAlignment="1" applyProtection="0">
      <alignment vertical="bottom"/>
    </xf>
    <xf numFmtId="0" fontId="8" borderId="4" applyNumberFormat="0" applyFont="1" applyFill="0" applyBorder="1" applyAlignment="1" applyProtection="0">
      <alignment vertical="bottom"/>
    </xf>
    <xf numFmtId="0" fontId="0" borderId="5" applyNumberFormat="0" applyFont="1" applyFill="0" applyBorder="1" applyAlignment="1" applyProtection="0">
      <alignment vertical="bottom"/>
    </xf>
    <xf numFmtId="59" fontId="0" borderId="4" applyNumberFormat="1" applyFont="1" applyFill="0" applyBorder="1" applyAlignment="1" applyProtection="0">
      <alignment vertical="bottom"/>
    </xf>
    <xf numFmtId="3" fontId="0" borderId="4" applyNumberFormat="1" applyFont="1" applyFill="0" applyBorder="1" applyAlignment="1" applyProtection="0">
      <alignment vertical="bottom"/>
    </xf>
    <xf numFmtId="0" fontId="0" borderId="6" applyNumberFormat="0" applyFont="1" applyFill="0" applyBorder="1" applyAlignment="1" applyProtection="0">
      <alignment vertical="bottom"/>
    </xf>
    <xf numFmtId="0" fontId="9" borderId="1" applyNumberFormat="0" applyFont="1" applyFill="0" applyBorder="1" applyAlignment="1" applyProtection="0">
      <alignment vertical="bottom"/>
    </xf>
    <xf numFmtId="59" fontId="0" borderId="1" applyNumberFormat="1" applyFont="1" applyFill="0" applyBorder="1" applyAlignment="1" applyProtection="0">
      <alignment vertical="bottom"/>
    </xf>
    <xf numFmtId="9" fontId="0" borderId="1" applyNumberFormat="1" applyFont="1" applyFill="0" applyBorder="1" applyAlignment="1" applyProtection="0">
      <alignment vertical="bottom"/>
    </xf>
    <xf numFmtId="0" fontId="0" fillId="2" borderId="1" applyNumberFormat="0" applyFont="1" applyFill="1" applyBorder="1" applyAlignment="1" applyProtection="0">
      <alignment horizontal="left" vertical="top" wrapText="1"/>
    </xf>
    <xf numFmtId="59" fontId="0" fillId="2" borderId="1" applyNumberFormat="1" applyFont="1" applyFill="1" applyBorder="1" applyAlignment="1" applyProtection="0">
      <alignment vertical="top"/>
    </xf>
    <xf numFmtId="9" fontId="0" fillId="2" borderId="1" applyNumberFormat="1" applyFont="1" applyFill="1" applyBorder="1" applyAlignment="1" applyProtection="0">
      <alignment vertical="top"/>
    </xf>
    <xf numFmtId="0" fontId="8" borderId="1" applyNumberFormat="0" applyFont="1" applyFill="0" applyBorder="1" applyAlignment="1" applyProtection="0">
      <alignment vertical="bottom"/>
    </xf>
    <xf numFmtId="59" fontId="8" borderId="1" applyNumberFormat="1" applyFont="1" applyFill="0" applyBorder="1" applyAlignment="1" applyProtection="0">
      <alignment vertical="bottom"/>
    </xf>
    <xf numFmtId="0" fontId="0" applyNumberFormat="1" applyFont="1" applyFill="0" applyBorder="0" applyAlignment="1" applyProtection="0">
      <alignment vertical="bottom"/>
    </xf>
    <xf numFmtId="0" fontId="4" borderId="7" applyNumberFormat="0" applyFont="1" applyFill="0" applyBorder="1" applyAlignment="1" applyProtection="0">
      <alignment vertical="bottom"/>
    </xf>
    <xf numFmtId="49" fontId="4" fillId="2" borderId="8" applyNumberFormat="1" applyFont="1" applyFill="1" applyBorder="1" applyAlignment="1" applyProtection="0">
      <alignment horizontal="right" vertical="center"/>
    </xf>
    <xf numFmtId="0" fontId="4" borderId="8" applyNumberFormat="1" applyFont="1" applyFill="0" applyBorder="1" applyAlignment="1" applyProtection="0">
      <alignment vertical="bottom"/>
    </xf>
    <xf numFmtId="0" fontId="4" borderId="8" applyNumberFormat="0" applyFont="1" applyFill="0" applyBorder="1" applyAlignment="1" applyProtection="0">
      <alignment horizontal="right" vertical="bottom"/>
    </xf>
    <xf numFmtId="0" fontId="4" fillId="2" borderId="9" applyNumberFormat="0" applyFont="1" applyFill="1" applyBorder="1" applyAlignment="1" applyProtection="0">
      <alignment vertical="center"/>
    </xf>
    <xf numFmtId="0" fontId="4" borderId="10" applyNumberFormat="0" applyFont="1" applyFill="0" applyBorder="1" applyAlignment="1" applyProtection="0">
      <alignment vertical="bottom"/>
    </xf>
    <xf numFmtId="0" fontId="4" borderId="11" applyNumberFormat="0" applyFont="1" applyFill="0" applyBorder="1" applyAlignment="1" applyProtection="0">
      <alignment vertical="bottom"/>
    </xf>
    <xf numFmtId="49" fontId="4" borderId="12" applyNumberFormat="1" applyFont="1" applyFill="0" applyBorder="1" applyAlignment="1" applyProtection="0">
      <alignment horizontal="right" vertical="bottom"/>
    </xf>
    <xf numFmtId="0" fontId="4" borderId="12" applyNumberFormat="1" applyFont="1" applyFill="0" applyBorder="1" applyAlignment="1" applyProtection="0">
      <alignment vertical="bottom"/>
    </xf>
    <xf numFmtId="0" fontId="4" borderId="12" applyNumberFormat="0" applyFont="1" applyFill="0" applyBorder="1" applyAlignment="1" applyProtection="0">
      <alignment vertical="bottom"/>
    </xf>
    <xf numFmtId="0" fontId="10" fillId="2" borderId="1" applyNumberFormat="0" applyFont="1" applyFill="1" applyBorder="1" applyAlignment="1" applyProtection="0">
      <alignment vertical="center"/>
    </xf>
    <xf numFmtId="0" fontId="4" fillId="2" borderId="1" applyNumberFormat="0" applyFont="1" applyFill="1" applyBorder="1" applyAlignment="1" applyProtection="0">
      <alignment vertical="center"/>
    </xf>
    <xf numFmtId="0" fontId="4" borderId="13" applyNumberFormat="0" applyFont="1" applyFill="0" applyBorder="1" applyAlignment="1" applyProtection="0">
      <alignment vertical="bottom"/>
    </xf>
    <xf numFmtId="0" fontId="4" borderId="1" applyNumberFormat="0" applyFont="1" applyFill="0" applyBorder="1" applyAlignment="1" applyProtection="0">
      <alignment vertical="bottom"/>
    </xf>
    <xf numFmtId="49" fontId="12" borderId="1" applyNumberFormat="1" applyFont="1" applyFill="0" applyBorder="1" applyAlignment="1" applyProtection="0">
      <alignment vertical="bottom"/>
    </xf>
    <xf numFmtId="0" fontId="12" borderId="14" applyNumberFormat="1" applyFont="1" applyFill="0" applyBorder="1" applyAlignment="1" applyProtection="0">
      <alignment vertical="bottom"/>
    </xf>
    <xf numFmtId="0" fontId="12" borderId="14" applyNumberFormat="0" applyFont="1" applyFill="0" applyBorder="1" applyAlignment="1" applyProtection="0">
      <alignment vertical="bottom"/>
    </xf>
    <xf numFmtId="0" fontId="4" borderId="14" applyNumberFormat="0" applyFont="1" applyFill="0" applyBorder="1" applyAlignment="1" applyProtection="0">
      <alignment vertical="bottom"/>
    </xf>
    <xf numFmtId="0" fontId="10" fillId="2" borderId="15" applyNumberFormat="0" applyFont="1" applyFill="1" applyBorder="1" applyAlignment="1" applyProtection="0">
      <alignment horizontal="right" vertical="center"/>
    </xf>
    <xf numFmtId="0" fontId="12" fillId="2" borderId="16" applyNumberFormat="0" applyFont="1" applyFill="1" applyBorder="1" applyAlignment="1" applyProtection="0">
      <alignment vertical="center"/>
    </xf>
    <xf numFmtId="0" fontId="4" borderId="17" applyNumberFormat="0" applyFont="1" applyFill="0" applyBorder="1" applyAlignment="1" applyProtection="0">
      <alignment vertical="bottom"/>
    </xf>
    <xf numFmtId="49" fontId="4" fillId="2" borderId="1" applyNumberFormat="1" applyFont="1" applyFill="1" applyBorder="1" applyAlignment="1" applyProtection="0">
      <alignment vertical="center"/>
    </xf>
    <xf numFmtId="0" fontId="4" borderId="18" applyNumberFormat="0" applyFont="1" applyFill="0" applyBorder="1" applyAlignment="1" applyProtection="0">
      <alignment vertical="bottom"/>
    </xf>
    <xf numFmtId="49" fontId="13" fillId="2" borderId="19" applyNumberFormat="1" applyFont="1" applyFill="1" applyBorder="1" applyAlignment="1" applyProtection="0">
      <alignment horizontal="right" vertical="center" wrapText="1"/>
    </xf>
    <xf numFmtId="49" fontId="13" fillId="2" borderId="20" applyNumberFormat="1" applyFont="1" applyFill="1" applyBorder="1" applyAlignment="1" applyProtection="0">
      <alignment horizontal="right" vertical="center" wrapText="1"/>
    </xf>
    <xf numFmtId="49" fontId="13" fillId="2" borderId="21" applyNumberFormat="1" applyFont="1" applyFill="1" applyBorder="1" applyAlignment="1" applyProtection="0">
      <alignment horizontal="right" vertical="center" wrapText="1"/>
    </xf>
    <xf numFmtId="49" fontId="13" fillId="2" borderId="22" applyNumberFormat="1" applyFont="1" applyFill="1" applyBorder="1" applyAlignment="1" applyProtection="0">
      <alignment horizontal="right" vertical="center" wrapText="1"/>
    </xf>
    <xf numFmtId="49" fontId="4" fillId="2" borderId="23" applyNumberFormat="1" applyFont="1" applyFill="1" applyBorder="1" applyAlignment="1" applyProtection="0">
      <alignment vertical="center" wrapText="1"/>
    </xf>
    <xf numFmtId="0" fontId="0" fillId="2" borderId="1" applyNumberFormat="0" applyFont="1" applyFill="1" applyBorder="1" applyAlignment="1" applyProtection="0">
      <alignment vertical="center"/>
    </xf>
    <xf numFmtId="0" fontId="0" borderId="13" applyNumberFormat="0" applyFont="1" applyFill="0" applyBorder="1" applyAlignment="1" applyProtection="0">
      <alignment vertical="bottom"/>
    </xf>
    <xf numFmtId="49" fontId="4" borderId="1" applyNumberFormat="1" applyFont="1" applyFill="0" applyBorder="1" applyAlignment="1" applyProtection="0">
      <alignment vertical="bottom"/>
    </xf>
    <xf numFmtId="3" fontId="4" borderId="1" applyNumberFormat="1" applyFont="1" applyFill="0" applyBorder="1" applyAlignment="1" applyProtection="0">
      <alignment vertical="bottom"/>
    </xf>
    <xf numFmtId="3" fontId="4" borderId="24" applyNumberFormat="1" applyFont="1" applyFill="0" applyBorder="1" applyAlignment="1" applyProtection="0">
      <alignment vertical="bottom"/>
    </xf>
    <xf numFmtId="3" fontId="4" borderId="25" applyNumberFormat="1" applyFont="1" applyFill="0" applyBorder="1" applyAlignment="1" applyProtection="0">
      <alignment vertical="bottom"/>
    </xf>
    <xf numFmtId="3" fontId="4" borderId="26" applyNumberFormat="1" applyFont="1" applyFill="0" applyBorder="1" applyAlignment="1" applyProtection="0">
      <alignment vertical="bottom"/>
    </xf>
    <xf numFmtId="3" fontId="4" borderId="23" applyNumberFormat="1" applyFont="1" applyFill="0" applyBorder="1" applyAlignment="1" applyProtection="0">
      <alignment vertical="bottom"/>
    </xf>
    <xf numFmtId="9" fontId="4" borderId="26" applyNumberFormat="1" applyFont="1" applyFill="0" applyBorder="1" applyAlignment="1" applyProtection="0">
      <alignment vertical="bottom"/>
    </xf>
    <xf numFmtId="0" fontId="0" fillId="2" borderId="23" applyNumberFormat="0" applyFont="1" applyFill="1" applyBorder="1" applyAlignment="1" applyProtection="0">
      <alignment vertical="center"/>
    </xf>
    <xf numFmtId="3" fontId="4" borderId="2" applyNumberFormat="1" applyFont="1" applyFill="0" applyBorder="1" applyAlignment="1" applyProtection="0">
      <alignment vertical="bottom"/>
    </xf>
    <xf numFmtId="60" fontId="4" borderId="26" applyNumberFormat="1" applyFont="1" applyFill="0" applyBorder="1" applyAlignment="1" applyProtection="0">
      <alignment vertical="bottom"/>
    </xf>
    <xf numFmtId="3" fontId="4" borderId="27" applyNumberFormat="1" applyFont="1" applyFill="0" applyBorder="1" applyAlignment="1" applyProtection="0">
      <alignment vertical="bottom"/>
    </xf>
    <xf numFmtId="3" fontId="4" borderId="4" applyNumberFormat="1" applyFont="1" applyFill="0" applyBorder="1" applyAlignment="1" applyProtection="0">
      <alignment vertical="bottom"/>
    </xf>
    <xf numFmtId="3" fontId="4" borderId="28" applyNumberFormat="1" applyFont="1" applyFill="0" applyBorder="1" applyAlignment="1" applyProtection="0">
      <alignment vertical="bottom"/>
    </xf>
    <xf numFmtId="3" fontId="4" borderId="29" applyNumberFormat="1" applyFont="1" applyFill="0" applyBorder="1" applyAlignment="1" applyProtection="0">
      <alignment vertical="bottom"/>
    </xf>
    <xf numFmtId="3" fontId="4" borderId="6" applyNumberFormat="1" applyFont="1" applyFill="0" applyBorder="1" applyAlignment="1" applyProtection="0">
      <alignment vertical="bottom"/>
    </xf>
    <xf numFmtId="49" fontId="10" fillId="3" borderId="1" applyNumberFormat="1" applyFont="1" applyFill="1" applyBorder="1" applyAlignment="1" applyProtection="0">
      <alignment vertical="bottom"/>
    </xf>
    <xf numFmtId="3" fontId="10" fillId="3" borderId="1" applyNumberFormat="1" applyFont="1" applyFill="1" applyBorder="1" applyAlignment="1" applyProtection="0">
      <alignment vertical="bottom"/>
    </xf>
    <xf numFmtId="3" fontId="10" fillId="3" borderId="24" applyNumberFormat="1" applyFont="1" applyFill="1" applyBorder="1" applyAlignment="1" applyProtection="0">
      <alignment vertical="bottom"/>
    </xf>
    <xf numFmtId="3" fontId="10" fillId="3" borderId="25" applyNumberFormat="1" applyFont="1" applyFill="1" applyBorder="1" applyAlignment="1" applyProtection="0">
      <alignment vertical="bottom"/>
    </xf>
    <xf numFmtId="3" fontId="10" fillId="3" borderId="26" applyNumberFormat="1" applyFont="1" applyFill="1" applyBorder="1" applyAlignment="1" applyProtection="0">
      <alignment vertical="bottom"/>
    </xf>
    <xf numFmtId="3" fontId="10" fillId="3" borderId="23" applyNumberFormat="1" applyFont="1" applyFill="1" applyBorder="1" applyAlignment="1" applyProtection="0">
      <alignment vertical="bottom"/>
    </xf>
    <xf numFmtId="60" fontId="10" fillId="3" borderId="26" applyNumberFormat="1" applyFont="1" applyFill="1" applyBorder="1" applyAlignment="1" applyProtection="0">
      <alignment vertical="bottom"/>
    </xf>
    <xf numFmtId="60" fontId="4" fillId="2" borderId="26" applyNumberFormat="1" applyFont="1" applyFill="1" applyBorder="1" applyAlignment="1" applyProtection="0">
      <alignment vertical="center"/>
    </xf>
    <xf numFmtId="49" fontId="4" fillId="2" borderId="23" applyNumberFormat="1" applyFont="1" applyFill="1" applyBorder="1" applyAlignment="1" applyProtection="0">
      <alignment vertical="bottom"/>
    </xf>
    <xf numFmtId="49" fontId="4" fillId="4" borderId="1" applyNumberFormat="1" applyFont="1" applyFill="1" applyBorder="1" applyAlignment="1" applyProtection="0">
      <alignment vertical="bottom"/>
    </xf>
    <xf numFmtId="3" fontId="4" fillId="4" borderId="1" applyNumberFormat="1" applyFont="1" applyFill="1" applyBorder="1" applyAlignment="1" applyProtection="0">
      <alignment vertical="bottom"/>
    </xf>
    <xf numFmtId="3" fontId="4" fillId="4" borderId="26" applyNumberFormat="1" applyFont="1" applyFill="1" applyBorder="1" applyAlignment="1" applyProtection="0">
      <alignment vertical="bottom"/>
    </xf>
    <xf numFmtId="3" fontId="4" fillId="4" borderId="23" applyNumberFormat="1" applyFont="1" applyFill="1" applyBorder="1" applyAlignment="1" applyProtection="0">
      <alignment vertical="bottom"/>
    </xf>
    <xf numFmtId="60" fontId="4" fillId="4" borderId="26" applyNumberFormat="1" applyFont="1" applyFill="1" applyBorder="1" applyAlignment="1" applyProtection="0">
      <alignment vertical="center"/>
    </xf>
    <xf numFmtId="0" fontId="4" fillId="2" borderId="23" applyNumberFormat="0" applyFont="1" applyFill="1" applyBorder="1" applyAlignment="1" applyProtection="0">
      <alignment vertical="center"/>
    </xf>
    <xf numFmtId="49" fontId="4" fillId="2" borderId="23" applyNumberFormat="1" applyFont="1" applyFill="1" applyBorder="1" applyAlignment="1" applyProtection="0">
      <alignment vertical="center"/>
    </xf>
    <xf numFmtId="49" fontId="0" fillId="2" borderId="23" applyNumberFormat="1" applyFont="1" applyFill="1" applyBorder="1" applyAlignment="1" applyProtection="0">
      <alignment vertical="center"/>
    </xf>
    <xf numFmtId="3" fontId="4" fillId="4" borderId="24" applyNumberFormat="1" applyFont="1" applyFill="1" applyBorder="1" applyAlignment="1" applyProtection="0">
      <alignment vertical="bottom"/>
    </xf>
    <xf numFmtId="3" fontId="4" fillId="4" borderId="25" applyNumberFormat="1" applyFont="1" applyFill="1" applyBorder="1" applyAlignment="1" applyProtection="0">
      <alignment vertical="bottom"/>
    </xf>
    <xf numFmtId="49" fontId="10" fillId="4" borderId="1" applyNumberFormat="1" applyFont="1" applyFill="1" applyBorder="1" applyAlignment="1" applyProtection="0">
      <alignment vertical="bottom"/>
    </xf>
    <xf numFmtId="60" fontId="10" fillId="3" borderId="26" applyNumberFormat="1" applyFont="1" applyFill="1" applyBorder="1" applyAlignment="1" applyProtection="0">
      <alignment vertical="center"/>
    </xf>
    <xf numFmtId="0" fontId="4" borderId="1" applyNumberFormat="1" applyFont="1" applyFill="0" applyBorder="1" applyAlignment="1" applyProtection="0">
      <alignment vertical="bottom"/>
    </xf>
    <xf numFmtId="0" fontId="4" borderId="24" applyNumberFormat="1" applyFont="1" applyFill="0" applyBorder="1" applyAlignment="1" applyProtection="0">
      <alignment vertical="bottom"/>
    </xf>
    <xf numFmtId="49" fontId="0" borderId="1" applyNumberFormat="1" applyFont="1" applyFill="0" applyBorder="1" applyAlignment="1" applyProtection="0">
      <alignment vertical="bottom"/>
    </xf>
    <xf numFmtId="0" fontId="10" borderId="11" applyNumberFormat="0" applyFont="1" applyFill="0" applyBorder="1" applyAlignment="1" applyProtection="0">
      <alignment vertical="bottom"/>
    </xf>
    <xf numFmtId="3" fontId="10" fillId="4" borderId="1" applyNumberFormat="1" applyFont="1" applyFill="1" applyBorder="1" applyAlignment="1" applyProtection="0">
      <alignment vertical="bottom"/>
    </xf>
    <xf numFmtId="3" fontId="10" fillId="4" borderId="24" applyNumberFormat="1" applyFont="1" applyFill="1" applyBorder="1" applyAlignment="1" applyProtection="0">
      <alignment vertical="bottom"/>
    </xf>
    <xf numFmtId="3" fontId="10" fillId="4" borderId="25" applyNumberFormat="1" applyFont="1" applyFill="1" applyBorder="1" applyAlignment="1" applyProtection="0">
      <alignment vertical="bottom"/>
    </xf>
    <xf numFmtId="3" fontId="10" fillId="4" borderId="26" applyNumberFormat="1" applyFont="1" applyFill="1" applyBorder="1" applyAlignment="1" applyProtection="0">
      <alignment vertical="bottom"/>
    </xf>
    <xf numFmtId="3" fontId="10" fillId="4" borderId="23" applyNumberFormat="1" applyFont="1" applyFill="1" applyBorder="1" applyAlignment="1" applyProtection="0">
      <alignment vertical="bottom"/>
    </xf>
    <xf numFmtId="0" fontId="10" fillId="2" borderId="23" applyNumberFormat="0" applyFont="1" applyFill="1" applyBorder="1" applyAlignment="1" applyProtection="0">
      <alignment vertical="center"/>
    </xf>
    <xf numFmtId="0" fontId="10" borderId="13" applyNumberFormat="0" applyFont="1" applyFill="0" applyBorder="1" applyAlignment="1" applyProtection="0">
      <alignment vertical="bottom"/>
    </xf>
    <xf numFmtId="0" fontId="0" borderId="11" applyNumberFormat="0" applyFont="1" applyFill="0" applyBorder="1" applyAlignment="1" applyProtection="0">
      <alignment vertical="bottom"/>
    </xf>
    <xf numFmtId="3" fontId="0" borderId="1" applyNumberFormat="1" applyFont="1" applyFill="0" applyBorder="1" applyAlignment="1" applyProtection="0">
      <alignment vertical="bottom"/>
    </xf>
    <xf numFmtId="3" fontId="0" borderId="24" applyNumberFormat="1" applyFont="1" applyFill="0" applyBorder="1" applyAlignment="1" applyProtection="0">
      <alignment vertical="bottom"/>
    </xf>
    <xf numFmtId="3" fontId="0" borderId="25" applyNumberFormat="1" applyFont="1" applyFill="0" applyBorder="1" applyAlignment="1" applyProtection="0">
      <alignment vertical="bottom"/>
    </xf>
    <xf numFmtId="3" fontId="0" borderId="26" applyNumberFormat="1" applyFont="1" applyFill="0" applyBorder="1" applyAlignment="1" applyProtection="0">
      <alignment vertical="bottom"/>
    </xf>
    <xf numFmtId="3" fontId="0" borderId="23" applyNumberFormat="1" applyFont="1" applyFill="0" applyBorder="1" applyAlignment="1" applyProtection="0">
      <alignment vertical="bottom"/>
    </xf>
    <xf numFmtId="60" fontId="0" fillId="2" borderId="26" applyNumberFormat="1" applyFont="1" applyFill="1" applyBorder="1" applyAlignment="1" applyProtection="0">
      <alignment vertical="center"/>
    </xf>
    <xf numFmtId="49" fontId="0" fillId="4" borderId="1" applyNumberFormat="1" applyFont="1" applyFill="1" applyBorder="1" applyAlignment="1" applyProtection="0">
      <alignment vertical="bottom"/>
    </xf>
    <xf numFmtId="3" fontId="0" fillId="4" borderId="1" applyNumberFormat="1" applyFont="1" applyFill="1" applyBorder="1" applyAlignment="1" applyProtection="0">
      <alignment vertical="bottom"/>
    </xf>
    <xf numFmtId="3" fontId="0" fillId="4" borderId="24" applyNumberFormat="1" applyFont="1" applyFill="1" applyBorder="1" applyAlignment="1" applyProtection="0">
      <alignment vertical="bottom"/>
    </xf>
    <xf numFmtId="3" fontId="0" fillId="4" borderId="25" applyNumberFormat="1" applyFont="1" applyFill="1" applyBorder="1" applyAlignment="1" applyProtection="0">
      <alignment vertical="bottom"/>
    </xf>
    <xf numFmtId="3" fontId="0" fillId="4" borderId="26" applyNumberFormat="1" applyFont="1" applyFill="1" applyBorder="1" applyAlignment="1" applyProtection="0">
      <alignment vertical="bottom"/>
    </xf>
    <xf numFmtId="3" fontId="0" fillId="4" borderId="23" applyNumberFormat="1" applyFont="1" applyFill="1" applyBorder="1" applyAlignment="1" applyProtection="0">
      <alignment vertical="bottom"/>
    </xf>
    <xf numFmtId="60" fontId="0" fillId="4" borderId="26" applyNumberFormat="1" applyFont="1" applyFill="1" applyBorder="1" applyAlignment="1" applyProtection="0">
      <alignment vertical="center"/>
    </xf>
    <xf numFmtId="3" fontId="10" fillId="2" borderId="1" applyNumberFormat="1" applyFont="1" applyFill="1" applyBorder="1" applyAlignment="1" applyProtection="0">
      <alignment vertical="center"/>
    </xf>
    <xf numFmtId="3" fontId="13" fillId="2" borderId="1" applyNumberFormat="1" applyFont="1" applyFill="1" applyBorder="1" applyAlignment="1" applyProtection="0">
      <alignment vertical="center" wrapText="1"/>
    </xf>
    <xf numFmtId="49" fontId="4" fillId="3" borderId="1" applyNumberFormat="1" applyFont="1" applyFill="1" applyBorder="1" applyAlignment="1" applyProtection="0">
      <alignment vertical="bottom"/>
    </xf>
    <xf numFmtId="3" fontId="4" fillId="3" borderId="1" applyNumberFormat="1" applyFont="1" applyFill="1" applyBorder="1" applyAlignment="1" applyProtection="0">
      <alignment vertical="bottom"/>
    </xf>
    <xf numFmtId="3" fontId="4" fillId="3" borderId="24" applyNumberFormat="1" applyFont="1" applyFill="1" applyBorder="1" applyAlignment="1" applyProtection="0">
      <alignment vertical="bottom"/>
    </xf>
    <xf numFmtId="3" fontId="4" fillId="3" borderId="25" applyNumberFormat="1" applyFont="1" applyFill="1" applyBorder="1" applyAlignment="1" applyProtection="0">
      <alignment vertical="bottom"/>
    </xf>
    <xf numFmtId="3" fontId="4" fillId="3" borderId="26" applyNumberFormat="1" applyFont="1" applyFill="1" applyBorder="1" applyAlignment="1" applyProtection="0">
      <alignment vertical="bottom"/>
    </xf>
    <xf numFmtId="3" fontId="4" fillId="3" borderId="23" applyNumberFormat="1" applyFont="1" applyFill="1" applyBorder="1" applyAlignment="1" applyProtection="0">
      <alignment vertical="bottom"/>
    </xf>
    <xf numFmtId="60" fontId="4" fillId="3" borderId="26" applyNumberFormat="1" applyFont="1" applyFill="1" applyBorder="1" applyAlignment="1" applyProtection="0">
      <alignment vertical="center"/>
    </xf>
    <xf numFmtId="3" fontId="13" fillId="4" borderId="1" applyNumberFormat="1" applyFont="1" applyFill="1" applyBorder="1" applyAlignment="1" applyProtection="0">
      <alignment vertical="center" wrapText="1"/>
    </xf>
    <xf numFmtId="9" fontId="4" fillId="2" borderId="23" applyNumberFormat="1" applyFont="1" applyFill="1" applyBorder="1" applyAlignment="1" applyProtection="0">
      <alignment vertical="center"/>
    </xf>
    <xf numFmtId="3" fontId="4" fillId="3" borderId="30" applyNumberFormat="1" applyFont="1" applyFill="1" applyBorder="1" applyAlignment="1" applyProtection="0">
      <alignment vertical="bottom"/>
    </xf>
    <xf numFmtId="60" fontId="4" fillId="3" borderId="31" applyNumberFormat="1" applyFont="1" applyFill="1" applyBorder="1" applyAlignment="1" applyProtection="0">
      <alignment vertical="center"/>
    </xf>
    <xf numFmtId="0" fontId="4" borderId="32" applyNumberFormat="0" applyFont="1" applyFill="0" applyBorder="1" applyAlignment="1" applyProtection="0">
      <alignment vertical="bottom"/>
    </xf>
    <xf numFmtId="0" fontId="4" borderId="33" applyNumberFormat="0" applyFont="1" applyFill="0" applyBorder="1" applyAlignment="1" applyProtection="0">
      <alignment vertical="bottom"/>
    </xf>
    <xf numFmtId="0" fontId="4" borderId="34" applyNumberFormat="0" applyFont="1" applyFill="0" applyBorder="1" applyAlignment="1" applyProtection="0">
      <alignment vertical="bottom"/>
    </xf>
    <xf numFmtId="3" fontId="4" borderId="34" applyNumberFormat="1" applyFont="1" applyFill="0" applyBorder="1" applyAlignment="1" applyProtection="0">
      <alignment vertical="bottom"/>
    </xf>
    <xf numFmtId="0" fontId="4" fillId="2" borderId="34" applyNumberFormat="0" applyFont="1" applyFill="1" applyBorder="1" applyAlignment="1" applyProtection="0">
      <alignment vertical="center"/>
    </xf>
    <xf numFmtId="0" fontId="4" borderId="35" applyNumberFormat="0" applyFont="1" applyFill="0" applyBorder="1" applyAlignment="1" applyProtection="0">
      <alignment vertical="bottom"/>
    </xf>
    <xf numFmtId="0" fontId="0" applyNumberFormat="1" applyFont="1" applyFill="0" applyBorder="0" applyAlignment="1" applyProtection="0">
      <alignment vertical="bottom"/>
    </xf>
    <xf numFmtId="61" fontId="4" borderId="8" applyNumberFormat="1" applyFont="1" applyFill="0" applyBorder="1" applyAlignment="1" applyProtection="0">
      <alignment vertical="bottom"/>
    </xf>
    <xf numFmtId="0" fontId="4" borderId="36" applyNumberFormat="0" applyFont="1" applyFill="0" applyBorder="1" applyAlignment="1" applyProtection="0">
      <alignment horizontal="right" vertical="bottom"/>
    </xf>
    <xf numFmtId="61" fontId="4" borderId="12" applyNumberFormat="1" applyFont="1" applyFill="0" applyBorder="1" applyAlignment="1" applyProtection="0">
      <alignment vertical="bottom"/>
    </xf>
    <xf numFmtId="0" fontId="4" borderId="37" applyNumberFormat="0" applyFont="1" applyFill="0" applyBorder="1" applyAlignment="1" applyProtection="0">
      <alignment vertical="bottom"/>
    </xf>
    <xf numFmtId="0" fontId="10" fillId="2" borderId="16" applyNumberFormat="0" applyFont="1" applyFill="1" applyBorder="1" applyAlignment="1" applyProtection="0">
      <alignment horizontal="left" vertical="center"/>
    </xf>
    <xf numFmtId="0" fontId="4" borderId="38" applyNumberFormat="0" applyFont="1" applyFill="0" applyBorder="1" applyAlignment="1" applyProtection="0">
      <alignment vertical="bottom"/>
    </xf>
    <xf numFmtId="49" fontId="13" fillId="2" borderId="39" applyNumberFormat="1" applyFont="1" applyFill="1" applyBorder="1" applyAlignment="1" applyProtection="0">
      <alignment horizontal="right" vertical="center" wrapText="1"/>
    </xf>
    <xf numFmtId="49" fontId="13" fillId="2" borderId="40" applyNumberFormat="1" applyFont="1" applyFill="1" applyBorder="1" applyAlignment="1" applyProtection="0">
      <alignment horizontal="right" vertical="center" wrapText="1"/>
    </xf>
    <xf numFmtId="3" fontId="4" borderId="41" applyNumberFormat="1" applyFont="1" applyFill="0" applyBorder="1" applyAlignment="1" applyProtection="0">
      <alignment vertical="bottom"/>
    </xf>
    <xf numFmtId="0" fontId="4" borderId="42" applyNumberFormat="0" applyFont="1" applyFill="0" applyBorder="1" applyAlignment="1" applyProtection="0">
      <alignment vertical="bottom"/>
    </xf>
    <xf numFmtId="0" fontId="0" applyNumberFormat="1" applyFont="1" applyFill="0" applyBorder="0" applyAlignment="1" applyProtection="0">
      <alignment vertical="bottom"/>
    </xf>
    <xf numFmtId="49" fontId="10" fillId="2" borderId="15" applyNumberFormat="1" applyFont="1" applyFill="1" applyBorder="1" applyAlignment="1" applyProtection="0">
      <alignment horizontal="right" vertical="center"/>
    </xf>
    <xf numFmtId="49" fontId="10" fillId="2" borderId="16" applyNumberFormat="1" applyFont="1" applyFill="1" applyBorder="1" applyAlignment="1" applyProtection="0">
      <alignment horizontal="left" vertical="center"/>
    </xf>
    <xf numFmtId="0" fontId="0" applyNumberFormat="1" applyFont="1" applyFill="0" applyBorder="0" applyAlignment="1" applyProtection="0">
      <alignment vertical="bottom"/>
    </xf>
    <xf numFmtId="49" fontId="4" borderId="43" applyNumberFormat="1" applyFont="1" applyFill="0" applyBorder="1" applyAlignment="1" applyProtection="0">
      <alignment vertical="bottom"/>
    </xf>
    <xf numFmtId="0" fontId="4" borderId="43" applyNumberFormat="1" applyFont="1" applyFill="0" applyBorder="1" applyAlignment="1" applyProtection="0">
      <alignment vertical="bottom"/>
    </xf>
    <xf numFmtId="0" fontId="0" applyNumberFormat="1" applyFont="1" applyFill="0" applyBorder="0" applyAlignment="1" applyProtection="0">
      <alignment vertical="bottom"/>
    </xf>
    <xf numFmtId="0" fontId="2" applyNumberFormat="0" applyFont="1" applyFill="0" applyBorder="0" applyAlignment="1" applyProtection="0">
      <alignment horizontal="center" vertical="center"/>
    </xf>
    <xf numFmtId="0" fontId="4" fillId="5" borderId="44" applyNumberFormat="0" applyFont="1" applyFill="1" applyBorder="1" applyAlignment="1" applyProtection="0">
      <alignment vertical="bottom"/>
    </xf>
    <xf numFmtId="49" fontId="4" fillId="5" borderId="44" applyNumberFormat="1" applyFont="1" applyFill="1" applyBorder="1" applyAlignment="1" applyProtection="0">
      <alignment vertical="bottom"/>
    </xf>
    <xf numFmtId="49" fontId="4" fillId="6" borderId="45" applyNumberFormat="1" applyFont="1" applyFill="1" applyBorder="1" applyAlignment="1" applyProtection="0">
      <alignment vertical="bottom"/>
    </xf>
    <xf numFmtId="0" fontId="4" borderId="46" applyNumberFormat="1" applyFont="1" applyFill="0" applyBorder="1" applyAlignment="1" applyProtection="0">
      <alignment vertical="bottom"/>
    </xf>
    <xf numFmtId="0" fontId="4" borderId="47" applyNumberFormat="1" applyFont="1" applyFill="0" applyBorder="1" applyAlignment="1" applyProtection="0">
      <alignment vertical="bottom"/>
    </xf>
    <xf numFmtId="0" fontId="4" fillId="7" borderId="48" applyNumberFormat="0" applyFont="1" applyFill="1" applyBorder="1" applyAlignment="1" applyProtection="0">
      <alignment vertical="bottom"/>
    </xf>
    <xf numFmtId="0" fontId="4" fillId="7" borderId="49" applyNumberFormat="0" applyFont="1" applyFill="1" applyBorder="1" applyAlignment="1" applyProtection="0">
      <alignment vertical="bottom"/>
    </xf>
    <xf numFmtId="0" fontId="4" fillId="7" borderId="43" applyNumberFormat="0" applyFont="1" applyFill="1" applyBorder="1" applyAlignment="1" applyProtection="0">
      <alignment vertical="bottom"/>
    </xf>
    <xf numFmtId="49" fontId="4" fillId="8" borderId="48" applyNumberFormat="1" applyFont="1" applyFill="1" applyBorder="1" applyAlignment="1" applyProtection="0">
      <alignment vertical="bottom"/>
    </xf>
    <xf numFmtId="0" fontId="4" fillId="8" borderId="49" applyNumberFormat="1" applyFont="1" applyFill="1" applyBorder="1" applyAlignment="1" applyProtection="0">
      <alignment vertical="bottom"/>
    </xf>
    <xf numFmtId="0" fontId="4" fillId="8" borderId="43" applyNumberFormat="1" applyFont="1" applyFill="1" applyBorder="1" applyAlignment="1" applyProtection="0">
      <alignment vertical="bottom"/>
    </xf>
    <xf numFmtId="49" fontId="4" fillId="9" borderId="48" applyNumberFormat="1" applyFont="1" applyFill="1" applyBorder="1" applyAlignment="1" applyProtection="0">
      <alignment vertical="bottom"/>
    </xf>
    <xf numFmtId="0" fontId="4" fillId="9" borderId="49" applyNumberFormat="1" applyFont="1" applyFill="1" applyBorder="1" applyAlignment="1" applyProtection="0">
      <alignment vertical="bottom"/>
    </xf>
    <xf numFmtId="0" fontId="4" fillId="9" borderId="43" applyNumberFormat="1" applyFont="1" applyFill="1" applyBorder="1" applyAlignment="1" applyProtection="0">
      <alignment vertical="bottom"/>
    </xf>
    <xf numFmtId="49" fontId="4" fillId="10" borderId="48" applyNumberFormat="1" applyFont="1" applyFill="1" applyBorder="1" applyAlignment="1" applyProtection="0">
      <alignment vertical="bottom"/>
    </xf>
    <xf numFmtId="0" fontId="4" fillId="10" borderId="49" applyNumberFormat="1" applyFont="1" applyFill="1" applyBorder="1" applyAlignment="1" applyProtection="0">
      <alignment vertical="bottom"/>
    </xf>
    <xf numFmtId="0" fontId="4" fillId="10" borderId="43" applyNumberFormat="1" applyFont="1" applyFill="1" applyBorder="1" applyAlignment="1" applyProtection="0">
      <alignment vertical="bottom"/>
    </xf>
    <xf numFmtId="49" fontId="4" fillId="11" borderId="48" applyNumberFormat="1" applyFont="1" applyFill="1" applyBorder="1" applyAlignment="1" applyProtection="0">
      <alignment vertical="bottom"/>
    </xf>
    <xf numFmtId="0" fontId="4" fillId="11" borderId="49" applyNumberFormat="1" applyFont="1" applyFill="1" applyBorder="1" applyAlignment="1" applyProtection="0">
      <alignment vertical="bottom"/>
    </xf>
    <xf numFmtId="0" fontId="4" fillId="11" borderId="43" applyNumberFormat="1" applyFont="1" applyFill="1" applyBorder="1" applyAlignment="1" applyProtection="0">
      <alignment vertical="bottom"/>
    </xf>
    <xf numFmtId="49" fontId="4" fillId="12" borderId="48" applyNumberFormat="1" applyFont="1" applyFill="1" applyBorder="1" applyAlignment="1" applyProtection="0">
      <alignment vertical="bottom"/>
    </xf>
    <xf numFmtId="0" fontId="4" fillId="12" borderId="49" applyNumberFormat="1" applyFont="1" applyFill="1" applyBorder="1" applyAlignment="1" applyProtection="0">
      <alignment vertical="bottom"/>
    </xf>
    <xf numFmtId="0" fontId="4" fillId="12" borderId="43" applyNumberFormat="1" applyFont="1" applyFill="1" applyBorder="1" applyAlignment="1" applyProtection="0">
      <alignment vertical="bottom"/>
    </xf>
    <xf numFmtId="49" fontId="4" fillId="13" borderId="48" applyNumberFormat="1" applyFont="1" applyFill="1" applyBorder="1" applyAlignment="1" applyProtection="0">
      <alignment vertical="bottom"/>
    </xf>
    <xf numFmtId="0" fontId="4" fillId="13" borderId="49" applyNumberFormat="1" applyFont="1" applyFill="1" applyBorder="1" applyAlignment="1" applyProtection="0">
      <alignment vertical="bottom"/>
    </xf>
    <xf numFmtId="0" fontId="4" fillId="13" borderId="43" applyNumberFormat="1" applyFont="1" applyFill="1" applyBorder="1" applyAlignment="1" applyProtection="0">
      <alignment vertical="bottom"/>
    </xf>
    <xf numFmtId="49" fontId="4" fillId="14" borderId="48" applyNumberFormat="1" applyFont="1" applyFill="1" applyBorder="1" applyAlignment="1" applyProtection="0">
      <alignment vertical="bottom"/>
    </xf>
    <xf numFmtId="0" fontId="4" fillId="14" borderId="49" applyNumberFormat="1" applyFont="1" applyFill="1" applyBorder="1" applyAlignment="1" applyProtection="0">
      <alignment vertical="bottom"/>
    </xf>
    <xf numFmtId="0" fontId="4" fillId="14" borderId="43" applyNumberFormat="1" applyFont="1" applyFill="1" applyBorder="1" applyAlignment="1" applyProtection="0">
      <alignment vertical="bottom"/>
    </xf>
    <xf numFmtId="49" fontId="4" fillId="15" borderId="48" applyNumberFormat="1" applyFont="1" applyFill="1" applyBorder="1" applyAlignment="1" applyProtection="0">
      <alignment vertical="bottom"/>
    </xf>
    <xf numFmtId="0" fontId="4" fillId="15" borderId="49" applyNumberFormat="1" applyFont="1" applyFill="1" applyBorder="1" applyAlignment="1" applyProtection="0">
      <alignment vertical="bottom"/>
    </xf>
    <xf numFmtId="0" fontId="4" fillId="15" borderId="43" applyNumberFormat="1" applyFont="1" applyFill="1" applyBorder="1" applyAlignment="1" applyProtection="0">
      <alignment vertical="bottom"/>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0563c1"/>
      <rgbColor rgb="ffffffff"/>
      <rgbColor rgb="ffaaaaaa"/>
      <rgbColor rgb="ff262626"/>
      <rgbColor rgb="ff595959"/>
      <rgbColor rgb="ffbdd6ee"/>
      <rgbColor rgb="fffff2cb"/>
      <rgbColor rgb="ffa5a5a5"/>
      <rgbColor rgb="ff878787"/>
      <rgbColor rgb="ff2e578b"/>
      <rgbColor rgb="ff5d9548"/>
      <rgbColor rgb="ffe7a03c"/>
      <rgbColor rgb="ffbc2c2f"/>
      <rgbColor rgb="ff6f3c78"/>
      <rgbColor rgb="ffbdc0bf"/>
      <rgbColor rgb="ff3f3f3f"/>
      <rgbColor rgb="ffdbdbdb"/>
      <rgbColor rgb="ff4472c4"/>
      <rgbColor rgb="ffed7d31"/>
      <rgbColor rgb="ffffc000"/>
      <rgbColor rgb="ff70ad47"/>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s>

</file>

<file path=xl/charts/chart1.xml><?xml version="1.0" encoding="utf-8"?>
<c:chartSpace xmlns:c="http://schemas.openxmlformats.org/drawingml/2006/chart" xmlns:a="http://schemas.openxmlformats.org/drawingml/2006/main" xmlns:r="http://schemas.openxmlformats.org/officeDocument/2006/relationships">
  <c:date1904 val="0"/>
  <c:roundedCorners val="0"/>
  <c:chart>
    <c:autoTitleDeleted val="1"/>
    <c:plotArea>
      <c:layout>
        <c:manualLayout>
          <c:layoutTarget val="inner"/>
          <c:xMode val="edge"/>
          <c:yMode val="edge"/>
          <c:x val="0.005"/>
          <c:y val="0.005"/>
          <c:w val="0.99"/>
          <c:h val="0.9875"/>
        </c:manualLayout>
      </c:layout>
      <c:pieChart>
        <c:varyColors val="0"/>
        <c:ser>
          <c:idx val="0"/>
          <c:order val="0"/>
          <c:tx>
            <c:v>Sans titre 1</c:v>
          </c:tx>
          <c:spPr>
            <a:solidFill>
              <a:srgbClr val="2E578C"/>
            </a:solidFill>
            <a:ln w="6350" cap="flat">
              <a:solidFill>
                <a:srgbClr val="FFFFFF"/>
              </a:solidFill>
              <a:prstDash val="solid"/>
              <a:miter lim="800000"/>
            </a:ln>
            <a:effectLst/>
          </c:spPr>
          <c:explosion val="0"/>
          <c:dPt>
            <c:idx val="0"/>
            <c:explosion val="0"/>
            <c:spPr>
              <a:solidFill>
                <a:srgbClr val="2E578C"/>
              </a:solidFill>
              <a:ln w="6350" cap="flat">
                <a:solidFill>
                  <a:srgbClr val="FFFFFF"/>
                </a:solidFill>
                <a:prstDash val="solid"/>
                <a:miter lim="800000"/>
              </a:ln>
              <a:effectLst/>
            </c:spPr>
          </c:dPt>
          <c:dPt>
            <c:idx val="1"/>
            <c:explosion val="0"/>
            <c:spPr>
              <a:solidFill>
                <a:srgbClr val="5D9648"/>
              </a:solidFill>
              <a:ln w="6350" cap="flat">
                <a:solidFill>
                  <a:srgbClr val="FFFFFF"/>
                </a:solidFill>
                <a:prstDash val="solid"/>
                <a:miter lim="800000"/>
              </a:ln>
              <a:effectLst/>
            </c:spPr>
          </c:dPt>
          <c:dPt>
            <c:idx val="2"/>
            <c:explosion val="0"/>
            <c:spPr>
              <a:solidFill>
                <a:srgbClr val="E7A13D"/>
              </a:solidFill>
              <a:ln w="6350" cap="flat">
                <a:solidFill>
                  <a:srgbClr val="FFFFFF"/>
                </a:solidFill>
                <a:prstDash val="solid"/>
                <a:miter lim="800000"/>
              </a:ln>
              <a:effectLst/>
            </c:spPr>
          </c:dPt>
          <c:dPt>
            <c:idx val="3"/>
            <c:explosion val="0"/>
            <c:spPr>
              <a:solidFill>
                <a:srgbClr val="BC2D30"/>
              </a:solidFill>
              <a:ln w="6350" cap="flat">
                <a:solidFill>
                  <a:srgbClr val="FFFFFF"/>
                </a:solidFill>
                <a:prstDash val="solid"/>
                <a:miter lim="800000"/>
              </a:ln>
              <a:effectLst/>
            </c:spPr>
          </c:dPt>
          <c:dPt>
            <c:idx val="4"/>
            <c:explosion val="0"/>
            <c:spPr>
              <a:solidFill>
                <a:srgbClr val="6F3D79"/>
              </a:solidFill>
              <a:ln w="6350" cap="flat">
                <a:solidFill>
                  <a:srgbClr val="FFFFFF"/>
                </a:solidFill>
                <a:prstDash val="solid"/>
                <a:miter lim="800000"/>
              </a:ln>
              <a:effectLst/>
            </c:spPr>
          </c:dPt>
          <c:dLbls>
            <c:dLbl>
              <c:idx val="0"/>
              <c:numFmt formatCode="#,##0%" sourceLinked="0"/>
              <c:txPr>
                <a:bodyPr/>
                <a:lstStyle/>
                <a:p>
                  <a:pPr>
                    <a:defRPr b="0" i="0" strike="noStrike" sz="1800" u="none">
                      <a:solidFill>
                        <a:srgbClr val="000000"/>
                      </a:solidFill>
                      <a:latin typeface="Calibri"/>
                    </a:defRPr>
                  </a:pPr>
                </a:p>
              </c:txPr>
              <c:dLblPos val="ctr"/>
              <c:showLegendKey val="0"/>
              <c:showVal val="0"/>
              <c:showCatName val="0"/>
              <c:showSerName val="0"/>
              <c:showPercent val="1"/>
              <c:showBubbleSize val="0"/>
            </c:dLbl>
            <c:dLbl>
              <c:idx val="1"/>
              <c:numFmt formatCode="#,##0%" sourceLinked="0"/>
              <c:txPr>
                <a:bodyPr/>
                <a:lstStyle/>
                <a:p>
                  <a:pPr>
                    <a:defRPr b="0" i="0" strike="noStrike" sz="1800" u="none">
                      <a:solidFill>
                        <a:srgbClr val="000000"/>
                      </a:solidFill>
                      <a:latin typeface="Calibri"/>
                    </a:defRPr>
                  </a:pPr>
                </a:p>
              </c:txPr>
              <c:dLblPos val="ctr"/>
              <c:showLegendKey val="0"/>
              <c:showVal val="0"/>
              <c:showCatName val="0"/>
              <c:showSerName val="0"/>
              <c:showPercent val="1"/>
              <c:showBubbleSize val="0"/>
            </c:dLbl>
            <c:dLbl>
              <c:idx val="2"/>
              <c:numFmt formatCode="#,##0%" sourceLinked="0"/>
              <c:txPr>
                <a:bodyPr/>
                <a:lstStyle/>
                <a:p>
                  <a:pPr>
                    <a:defRPr b="0" i="0" strike="noStrike" sz="1800" u="none">
                      <a:solidFill>
                        <a:srgbClr val="000000"/>
                      </a:solidFill>
                      <a:latin typeface="Calibri"/>
                    </a:defRPr>
                  </a:pPr>
                </a:p>
              </c:txPr>
              <c:dLblPos val="ctr"/>
              <c:showLegendKey val="0"/>
              <c:showVal val="0"/>
              <c:showCatName val="0"/>
              <c:showSerName val="0"/>
              <c:showPercent val="1"/>
              <c:showBubbleSize val="0"/>
            </c:dLbl>
            <c:dLbl>
              <c:idx val="3"/>
              <c:numFmt formatCode="#,##0%" sourceLinked="0"/>
              <c:txPr>
                <a:bodyPr/>
                <a:lstStyle/>
                <a:p>
                  <a:pPr>
                    <a:defRPr b="0" i="0" strike="noStrike" sz="1800" u="none">
                      <a:solidFill>
                        <a:srgbClr val="000000"/>
                      </a:solidFill>
                      <a:latin typeface="Calibri"/>
                    </a:defRPr>
                  </a:pPr>
                </a:p>
              </c:txPr>
              <c:dLblPos val="ctr"/>
              <c:showLegendKey val="0"/>
              <c:showVal val="0"/>
              <c:showCatName val="0"/>
              <c:showSerName val="0"/>
              <c:showPercent val="1"/>
              <c:showBubbleSize val="0"/>
            </c:dLbl>
            <c:dLbl>
              <c:idx val="4"/>
              <c:numFmt formatCode="#,##0%" sourceLinked="0"/>
              <c:txPr>
                <a:bodyPr/>
                <a:lstStyle/>
                <a:p>
                  <a:pPr>
                    <a:defRPr b="0" i="0" strike="noStrike" sz="1800" u="none">
                      <a:solidFill>
                        <a:srgbClr val="000000"/>
                      </a:solidFill>
                      <a:latin typeface="Calibri"/>
                    </a:defRPr>
                  </a:pPr>
                </a:p>
              </c:txPr>
              <c:dLblPos val="ctr"/>
              <c:showLegendKey val="0"/>
              <c:showVal val="0"/>
              <c:showCatName val="0"/>
              <c:showSerName val="0"/>
              <c:showPercent val="1"/>
              <c:showBubbleSize val="0"/>
            </c:dLbl>
            <c:numFmt formatCode="#,##0%" sourceLinked="0"/>
            <c:txPr>
              <a:bodyPr/>
              <a:lstStyle/>
              <a:p>
                <a:pPr>
                  <a:defRPr b="0" i="0" strike="noStrike" sz="1800" u="none">
                    <a:solidFill>
                      <a:srgbClr val="000000"/>
                    </a:solidFill>
                    <a:latin typeface="Calibri"/>
                  </a:defRPr>
                </a:pPr>
              </a:p>
            </c:txPr>
            <c:dLblPos val="ctr"/>
            <c:showLegendKey val="0"/>
            <c:showVal val="0"/>
            <c:showCatName val="0"/>
            <c:showSerName val="0"/>
            <c:showPercent val="1"/>
            <c:showBubbleSize val="0"/>
            <c:showLeaderLines val="1"/>
            <c:leaderLines>
              <c:spPr>
                <a:noFill/>
                <a:ln w="6350" cap="flat">
                  <a:solidFill>
                    <a:srgbClr val="000000"/>
                  </a:solidFill>
                  <a:prstDash val="solid"/>
                  <a:miter lim="400000"/>
                </a:ln>
                <a:effectLst/>
              </c:spPr>
            </c:leaderLines>
          </c:dLbls>
          <c:cat>
            <c:strLit>
              <c:ptCount val="5"/>
              <c:pt idx="0">
                <c:v>Sans titre 6</c:v>
              </c:pt>
              <c:pt idx="1">
                <c:v>Sans titre 1</c:v>
              </c:pt>
              <c:pt idx="2">
                <c:v>Sans titre 2</c:v>
              </c:pt>
              <c:pt idx="3">
                <c:v>Sans titre 3</c:v>
              </c:pt>
              <c:pt idx="4">
                <c:v>Sans titre 4</c:v>
              </c:pt>
            </c:strLit>
          </c:cat>
          <c:val>
            <c:numRef>
              <c:f>'Financiering'!$C$2:$C$6</c:f>
              <c:numCache>
                <c:ptCount val="5"/>
                <c:pt idx="0">
                  <c:v>7500.000000</c:v>
                </c:pt>
                <c:pt idx="1">
                  <c:v>7500.000000</c:v>
                </c:pt>
                <c:pt idx="2">
                  <c:v>7500.000000</c:v>
                </c:pt>
                <c:pt idx="3">
                  <c:v>17500.000000</c:v>
                </c:pt>
                <c:pt idx="4">
                  <c:v>7500.000000</c:v>
                </c:pt>
              </c:numCache>
            </c:numRef>
          </c:val>
        </c:ser>
        <c:firstSliceAng val="0"/>
      </c:pieChart>
      <c:spPr>
        <a:noFill/>
        <a:ln w="12700" cap="flat">
          <a:noFill/>
          <a:miter lim="400000"/>
        </a:ln>
        <a:effectLst/>
      </c:spPr>
    </c:plotArea>
    <c:plotVisOnly val="1"/>
    <c:dispBlanksAs val="gap"/>
  </c:chart>
  <c:spPr>
    <a:noFill/>
    <a:ln w="12700" cap="flat">
      <a:solidFill>
        <a:srgbClr val="888888"/>
      </a:solidFill>
      <a:prstDash val="solid"/>
      <a:miter lim="800000"/>
    </a:ln>
    <a:effectLst/>
  </c:spPr>
</c:chartSpace>
</file>

<file path=xl/drawings/_rels/drawing1.xml.rels><?xml version="1.0" encoding="UTF-8"?>
<Relationships xmlns="http://schemas.openxmlformats.org/package/2006/relationships"><Relationship Id="rId1" Type="http://schemas.openxmlformats.org/officeDocument/2006/relationships/image" Target="../media/image1.png"/></Relationships>

</file>

<file path=xl/drawings/_rels/drawing2.xml.rels><?xml version="1.0" encoding="UTF-8"?>
<Relationships xmlns="http://schemas.openxmlformats.org/package/2006/relationships"><Relationship Id="rId1" Type="http://schemas.openxmlformats.org/officeDocument/2006/relationships/chart" Target="../charts/chart1.xml"/></Relationships>

</file>

<file path=xl/drawings/drawing1.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0</xdr:col>
      <xdr:colOff>222250</xdr:colOff>
      <xdr:row>17</xdr:row>
      <xdr:rowOff>100315</xdr:rowOff>
    </xdr:from>
    <xdr:to>
      <xdr:col>4</xdr:col>
      <xdr:colOff>690289</xdr:colOff>
      <xdr:row>35</xdr:row>
      <xdr:rowOff>169276</xdr:rowOff>
    </xdr:to>
    <xdr:sp>
      <xdr:nvSpPr>
        <xdr:cNvPr id="2" name="Socosmetica is een Belgisch bedrijf dat sinds 3 jaar bestaat zonder schulden of kredieten. Tot op heden heeft zij 07 octrooien, handelsmerken en formules geregistreerd (BBIE).…"/>
        <xdr:cNvSpPr txBox="1"/>
      </xdr:nvSpPr>
      <xdr:spPr>
        <a:xfrm>
          <a:off x="222250" y="3041635"/>
          <a:ext cx="6818040" cy="3391282"/>
        </a:xfrm>
        <a:prstGeom prst="rect">
          <a:avLst/>
        </a:prstGeom>
        <a:noFill/>
        <a:ln w="12700" cap="flat">
          <a:noFill/>
          <a:miter lim="400000"/>
        </a:ln>
        <a:effectLst/>
        <a:extLst>
          <a:ext uri="{C572A759-6A51-4108-AA02-DFA0A04FC94B}">
            <ma14:wrappingTextBoxFlag xmlns:ma14="http://schemas.microsoft.com/office/mac/drawingml/2011/main" val="1"/>
          </a:ext>
        </a:extLst>
      </xdr:spPr>
      <xdr:txBody>
        <a:bodyPr wrap="square" lIns="45719" tIns="45719" rIns="45719" bIns="45719" numCol="1" anchor="t">
          <a:spAutoFit/>
        </a:bodyPr>
        <a:lstStyle/>
        <a:p>
          <a:pPr marL="0" marR="0" indent="0" algn="l" defTabSz="914400" latinLnBrk="0">
            <a:lnSpc>
              <a:spcPct val="100000"/>
            </a:lnSpc>
            <a:spcBef>
              <a:spcPts val="0"/>
            </a:spcBef>
            <a:spcAft>
              <a:spcPts val="0"/>
            </a:spcAft>
            <a:buClrTx/>
            <a:buSzTx/>
            <a:buFontTx/>
            <a:buNone/>
            <a:tabLst/>
            <a:defRPr b="0" baseline="0" cap="none" i="0" spc="0" strike="noStrike" sz="1100" u="none">
              <a:solidFill>
                <a:srgbClr val="000000"/>
              </a:solidFill>
              <a:uFillTx/>
              <a:latin typeface="Avenir Heavy"/>
              <a:ea typeface="Avenir Heavy"/>
              <a:cs typeface="Avenir Heavy"/>
              <a:sym typeface="Avenir Heavy"/>
            </a:defRPr>
          </a:pPr>
          <a:r>
            <a:rPr b="0" baseline="0" cap="none" i="0" spc="0" strike="noStrike" sz="1100" u="none">
              <a:solidFill>
                <a:srgbClr val="000000"/>
              </a:solidFill>
              <a:uFillTx/>
              <a:latin typeface="Avenir Heavy"/>
              <a:ea typeface="Avenir Heavy"/>
              <a:cs typeface="Avenir Heavy"/>
              <a:sym typeface="Avenir Heavy"/>
            </a:rPr>
            <a:t>Socosmetica is een Belgisch bedrijf dat sinds 3 jaar bestaat zonder schulden of kredieten. Tot op heden heeft zij 07 octrooien, handelsmerken en formules geregistreerd (BBIE).</a:t>
          </a:r>
          <a:endParaRPr b="0" baseline="0" cap="none" i="0" spc="0" strike="noStrike" sz="1100" u="none">
            <a:solidFill>
              <a:srgbClr val="000000"/>
            </a:solidFill>
            <a:uFillTx/>
            <a:latin typeface="Avenir Heavy"/>
            <a:ea typeface="Avenir Heavy"/>
            <a:cs typeface="Avenir Heavy"/>
            <a:sym typeface="Avenir Heavy"/>
          </a:endParaRPr>
        </a:p>
        <a:p>
          <a:pPr marL="0" marR="0" indent="0" algn="l" defTabSz="914400" latinLnBrk="0">
            <a:lnSpc>
              <a:spcPct val="100000"/>
            </a:lnSpc>
            <a:spcBef>
              <a:spcPts val="0"/>
            </a:spcBef>
            <a:spcAft>
              <a:spcPts val="0"/>
            </a:spcAft>
            <a:buClrTx/>
            <a:buSzTx/>
            <a:buFontTx/>
            <a:buNone/>
            <a:tabLst/>
            <a:defRPr b="0" baseline="0" cap="none" i="0" spc="0" strike="noStrike" sz="1100" u="none">
              <a:solidFill>
                <a:srgbClr val="000000"/>
              </a:solidFill>
              <a:uFillTx/>
              <a:latin typeface="Avenir Heavy"/>
              <a:ea typeface="Avenir Heavy"/>
              <a:cs typeface="Avenir Heavy"/>
              <a:sym typeface="Avenir Heavy"/>
            </a:defRPr>
          </a:pPr>
          <a:r>
            <a:rPr b="0" baseline="0" cap="none" i="0" spc="0" strike="noStrike" sz="1100" u="none">
              <a:solidFill>
                <a:srgbClr val="000000"/>
              </a:solidFill>
              <a:uFillTx/>
              <a:latin typeface="Avenir Heavy"/>
              <a:ea typeface="Avenir Heavy"/>
              <a:cs typeface="Avenir Heavy"/>
              <a:sym typeface="Avenir Heavy"/>
            </a:rPr>
            <a:t>In de afgelopen 3 jaar hebben enkele van de oprichters met eigen middelen het onderzoek naar en de ontwikkeling van producten die in augustus 2021 op de markt zullen worden gebracht, kunnen ontwikkelen. Tot dusver hebben zij de verschillende juridische, commerciële en reclamefasen doorlopen.</a:t>
          </a:r>
          <a:endParaRPr b="0" baseline="0" cap="none" i="0" spc="0" strike="noStrike" sz="1100" u="none">
            <a:solidFill>
              <a:srgbClr val="000000"/>
            </a:solidFill>
            <a:uFillTx/>
            <a:latin typeface="Avenir Heavy"/>
            <a:ea typeface="Avenir Heavy"/>
            <a:cs typeface="Avenir Heavy"/>
            <a:sym typeface="Avenir Heavy"/>
          </a:endParaRPr>
        </a:p>
        <a:p>
          <a:pPr marL="0" marR="0" indent="0" algn="l" defTabSz="914400" latinLnBrk="0">
            <a:lnSpc>
              <a:spcPct val="100000"/>
            </a:lnSpc>
            <a:spcBef>
              <a:spcPts val="0"/>
            </a:spcBef>
            <a:spcAft>
              <a:spcPts val="0"/>
            </a:spcAft>
            <a:buClrTx/>
            <a:buSzTx/>
            <a:buFontTx/>
            <a:buNone/>
            <a:tabLst/>
            <a:defRPr b="0" baseline="0" cap="none" i="0" spc="0" strike="noStrike" sz="1100" u="none">
              <a:solidFill>
                <a:srgbClr val="000000"/>
              </a:solidFill>
              <a:uFillTx/>
              <a:latin typeface="Avenir Heavy"/>
              <a:ea typeface="Avenir Heavy"/>
              <a:cs typeface="Avenir Heavy"/>
              <a:sym typeface="Avenir Heavy"/>
            </a:defRPr>
          </a:pPr>
          <a:r>
            <a:rPr b="0" baseline="0" cap="none" i="0" spc="0" strike="noStrike" sz="1100" u="none">
              <a:solidFill>
                <a:srgbClr val="000000"/>
              </a:solidFill>
              <a:uFillTx/>
              <a:latin typeface="Avenir Heavy"/>
              <a:ea typeface="Avenir Heavy"/>
              <a:cs typeface="Avenir Heavy"/>
              <a:sym typeface="Avenir Heavy"/>
            </a:rPr>
            <a:t>Deze nieuwe fondsenwerving zal de onderneming in staat stellen de aanwerving van een verkoopagent te financieren en de verschillende marketing- en verkoopacties te stimuleren met het oog op een nationale ontplooiing. Dankzij een team van polyvalente beheerders wil de onderneming haar eerste filialen oprichten in Frankrijk, Spanje en Canada, die gepland zijn voor eind 2021 en in de loop van 2022. De internalisering van de verschillende deskundigheidsgebieden maakt een aanzienlijke vermindering van de kosten en van de onderaannemers mogelijk. Het bedrijf heeft voldoende vaardigheden in huis om de volgende taken te produceren, te controleren en te kwalificeren: management, HR, logistiek, digitale marketing, commerciële strategieën en import en export.</a:t>
          </a:r>
        </a:p>
      </xdr:txBody>
    </xdr:sp>
    <xdr:clientData/>
  </xdr:twoCellAnchor>
  <xdr:twoCellAnchor>
    <xdr:from>
      <xdr:col>0</xdr:col>
      <xdr:colOff>222250</xdr:colOff>
      <xdr:row>15</xdr:row>
      <xdr:rowOff>155066</xdr:rowOff>
    </xdr:from>
    <xdr:to>
      <xdr:col>1</xdr:col>
      <xdr:colOff>970127</xdr:colOff>
      <xdr:row>18</xdr:row>
      <xdr:rowOff>32892</xdr:rowOff>
    </xdr:to>
    <xdr:sp>
      <xdr:nvSpPr>
        <xdr:cNvPr id="3" name="Situation"/>
        <xdr:cNvSpPr txBox="1"/>
      </xdr:nvSpPr>
      <xdr:spPr>
        <a:xfrm>
          <a:off x="222250" y="2730626"/>
          <a:ext cx="989178" cy="426467"/>
        </a:xfrm>
        <a:prstGeom prst="rect">
          <a:avLst/>
        </a:prstGeom>
        <a:noFill/>
        <a:ln w="12700" cap="flat">
          <a:noFill/>
          <a:miter lim="400000"/>
        </a:ln>
        <a:effectLst/>
        <a:extLst>
          <a:ext uri="{C572A759-6A51-4108-AA02-DFA0A04FC94B}">
            <ma14:wrappingTextBoxFlag xmlns:ma14="http://schemas.microsoft.com/office/mac/drawingml/2011/main" val="1"/>
          </a:ext>
        </a:extLst>
      </xdr:spPr>
      <xdr:txBody>
        <a:bodyPr wrap="none" lIns="45719" tIns="45719" rIns="45719" bIns="45719" numCol="1" anchor="t">
          <a:spAutoFit/>
        </a:bodyPr>
        <a:lstStyle/>
        <a:p>
          <a:pPr marL="0" marR="0" indent="0" algn="l" defTabSz="914400" latinLnBrk="0">
            <a:lnSpc>
              <a:spcPct val="100000"/>
            </a:lnSpc>
            <a:spcBef>
              <a:spcPts val="0"/>
            </a:spcBef>
            <a:spcAft>
              <a:spcPts val="0"/>
            </a:spcAft>
            <a:buClrTx/>
            <a:buSzTx/>
            <a:buFontTx/>
            <a:buNone/>
            <a:tabLst/>
            <a:defRPr b="0" baseline="0" cap="none" i="0" spc="0" strike="noStrike" sz="1600" u="none">
              <a:solidFill>
                <a:srgbClr val="000000"/>
              </a:solidFill>
              <a:uFillTx/>
              <a:latin typeface="Avenir Heavy"/>
              <a:ea typeface="Avenir Heavy"/>
              <a:cs typeface="Avenir Heavy"/>
              <a:sym typeface="Avenir Heavy"/>
            </a:defRPr>
          </a:pPr>
          <a:r>
            <a:rPr b="0" baseline="0" cap="none" i="0" spc="0" strike="noStrike" sz="1600" u="none">
              <a:solidFill>
                <a:srgbClr val="000000"/>
              </a:solidFill>
              <a:uFillTx/>
              <a:latin typeface="Avenir Heavy"/>
              <a:ea typeface="Avenir Heavy"/>
              <a:cs typeface="Avenir Heavy"/>
              <a:sym typeface="Avenir Heavy"/>
            </a:rPr>
            <a:t>Situation</a:t>
          </a:r>
        </a:p>
      </xdr:txBody>
    </xdr:sp>
    <xdr:clientData/>
  </xdr:twoCellAnchor>
  <xdr:twoCellAnchor>
    <xdr:from>
      <xdr:col>2</xdr:col>
      <xdr:colOff>0</xdr:colOff>
      <xdr:row>2</xdr:row>
      <xdr:rowOff>0</xdr:rowOff>
    </xdr:from>
    <xdr:to>
      <xdr:col>4</xdr:col>
      <xdr:colOff>671239</xdr:colOff>
      <xdr:row>12</xdr:row>
      <xdr:rowOff>182880</xdr:rowOff>
    </xdr:to>
    <xdr:pic>
      <xdr:nvPicPr>
        <xdr:cNvPr id="4" name="Image" descr="Image"/>
        <xdr:cNvPicPr>
          <a:picLocks noChangeAspect="1"/>
        </xdr:cNvPicPr>
      </xdr:nvPicPr>
      <xdr:blipFill>
        <a:blip r:embed="rId1">
          <a:extLst/>
        </a:blip>
        <a:stretch>
          <a:fillRect/>
        </a:stretch>
      </xdr:blipFill>
      <xdr:spPr>
        <a:xfrm>
          <a:off x="3835400" y="381000"/>
          <a:ext cx="3185840" cy="1828800"/>
        </a:xfrm>
        <a:prstGeom prst="rect">
          <a:avLst/>
        </a:prstGeom>
        <a:ln w="12700" cap="flat">
          <a:noFill/>
          <a:miter lim="400000"/>
        </a:ln>
        <a:effectLst/>
      </xdr:spPr>
    </xdr:pic>
    <xdr:clientData/>
  </xdr:twoCellAnchor>
</xdr:wsDr>
</file>

<file path=xl/drawings/drawing2.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4</xdr:col>
      <xdr:colOff>463074</xdr:colOff>
      <xdr:row>0</xdr:row>
      <xdr:rowOff>5855</xdr:rowOff>
    </xdr:from>
    <xdr:to>
      <xdr:col>6</xdr:col>
      <xdr:colOff>1131613</xdr:colOff>
      <xdr:row>28</xdr:row>
      <xdr:rowOff>60846</xdr:rowOff>
    </xdr:to>
    <xdr:sp>
      <xdr:nvSpPr>
        <xdr:cNvPr id="6" name="Verdeling van de verkregen financiering.…"/>
        <xdr:cNvSpPr txBox="1"/>
      </xdr:nvSpPr>
      <xdr:spPr>
        <a:xfrm>
          <a:off x="4044474" y="5855"/>
          <a:ext cx="3157740" cy="6677407"/>
        </a:xfrm>
        <a:prstGeom prst="rect">
          <a:avLst/>
        </a:prstGeom>
        <a:noFill/>
        <a:ln w="12700" cap="flat">
          <a:noFill/>
          <a:miter lim="400000"/>
        </a:ln>
        <a:effectLst/>
        <a:extLst>
          <a:ext uri="{C572A759-6A51-4108-AA02-DFA0A04FC94B}">
            <ma14:wrappingTextBoxFlag xmlns:ma14="http://schemas.microsoft.com/office/mac/drawingml/2011/main" val="1"/>
          </a:ext>
        </a:extLst>
      </xdr:spPr>
      <xdr:txBody>
        <a:bodyPr wrap="square" lIns="45719" tIns="45719" rIns="45719" bIns="45719" numCol="1" anchor="t">
          <a:spAutoFit/>
        </a:bodyPr>
        <a:lstStyle/>
        <a:p>
          <a:pPr marL="0" marR="0" indent="0" algn="l" defTabSz="914400" latinLnBrk="0">
            <a:lnSpc>
              <a:spcPct val="100000"/>
            </a:lnSpc>
            <a:spcBef>
              <a:spcPts val="0"/>
            </a:spcBef>
            <a:spcAft>
              <a:spcPts val="0"/>
            </a:spcAft>
            <a:buClrTx/>
            <a:buSzTx/>
            <a:buFontTx/>
            <a:buNone/>
            <a:tabLst/>
            <a:defRPr b="0" baseline="0" cap="none" i="0" spc="0" strike="noStrike" sz="1100" u="none">
              <a:solidFill>
                <a:srgbClr val="000000"/>
              </a:solidFill>
              <a:uFillTx/>
              <a:latin typeface="Avenir Book"/>
              <a:ea typeface="Avenir Book"/>
              <a:cs typeface="Avenir Book"/>
              <a:sym typeface="Avenir Book"/>
            </a:defRPr>
          </a:pPr>
          <a:r>
            <a:rPr b="0" baseline="0" cap="none" i="0" spc="0" strike="noStrike" sz="1100" u="none">
              <a:solidFill>
                <a:srgbClr val="000000"/>
              </a:solidFill>
              <a:uFillTx/>
              <a:latin typeface="Avenir Book"/>
              <a:ea typeface="Avenir Book"/>
              <a:cs typeface="Avenir Book"/>
              <a:sym typeface="Avenir Book"/>
            </a:rPr>
            <a:t>Verdeling van de verkregen financiering.</a:t>
          </a:r>
          <a:endParaRPr b="0" baseline="0" cap="none" i="0" spc="0" strike="noStrike" sz="1100" u="none">
            <a:solidFill>
              <a:srgbClr val="000000"/>
            </a:solidFill>
            <a:uFillTx/>
            <a:latin typeface="Avenir Book"/>
            <a:ea typeface="Avenir Book"/>
            <a:cs typeface="Avenir Book"/>
            <a:sym typeface="Avenir Book"/>
          </a:endParaRPr>
        </a:p>
        <a:p>
          <a:pPr marL="0" marR="0" indent="0" algn="l" defTabSz="914400" latinLnBrk="0">
            <a:lnSpc>
              <a:spcPct val="100000"/>
            </a:lnSpc>
            <a:spcBef>
              <a:spcPts val="0"/>
            </a:spcBef>
            <a:spcAft>
              <a:spcPts val="0"/>
            </a:spcAft>
            <a:buClrTx/>
            <a:buSzTx/>
            <a:buFontTx/>
            <a:buNone/>
            <a:tabLst/>
            <a:defRPr b="0" baseline="0" cap="none" i="0" spc="0" strike="noStrike" sz="1100" u="none">
              <a:solidFill>
                <a:srgbClr val="000000"/>
              </a:solidFill>
              <a:uFillTx/>
              <a:latin typeface="Avenir Book"/>
              <a:ea typeface="Avenir Book"/>
              <a:cs typeface="Avenir Book"/>
              <a:sym typeface="Avenir Book"/>
            </a:defRPr>
          </a:pPr>
          <a:endParaRPr b="0" baseline="0" cap="none" i="0" spc="0" strike="noStrike" sz="1100" u="none">
            <a:solidFill>
              <a:srgbClr val="000000"/>
            </a:solidFill>
            <a:uFillTx/>
            <a:latin typeface="Avenir Book"/>
            <a:ea typeface="Avenir Book"/>
            <a:cs typeface="Avenir Book"/>
            <a:sym typeface="Avenir Book"/>
          </a:endParaRPr>
        </a:p>
        <a:p>
          <a:pPr marL="0" marR="0" indent="0" algn="l" defTabSz="914400" latinLnBrk="0">
            <a:lnSpc>
              <a:spcPct val="100000"/>
            </a:lnSpc>
            <a:spcBef>
              <a:spcPts val="0"/>
            </a:spcBef>
            <a:spcAft>
              <a:spcPts val="0"/>
            </a:spcAft>
            <a:buClrTx/>
            <a:buSzTx/>
            <a:buFontTx/>
            <a:buNone/>
            <a:tabLst/>
            <a:defRPr b="0" baseline="0" cap="none" i="0" spc="0" strike="noStrike" sz="1100" u="none">
              <a:solidFill>
                <a:srgbClr val="000000"/>
              </a:solidFill>
              <a:uFillTx/>
              <a:latin typeface="Avenir Book"/>
              <a:ea typeface="Avenir Book"/>
              <a:cs typeface="Avenir Book"/>
              <a:sym typeface="Avenir Book"/>
            </a:defRPr>
          </a:pPr>
          <a:r>
            <a:rPr b="0" baseline="0" cap="none" i="0" spc="0" strike="noStrike" sz="1100" u="none">
              <a:solidFill>
                <a:srgbClr val="000000"/>
              </a:solidFill>
              <a:uFillTx/>
              <a:latin typeface="Avenir Book"/>
              <a:ea typeface="Avenir Book"/>
              <a:cs typeface="Avenir Book"/>
              <a:sym typeface="Avenir Book"/>
            </a:rPr>
            <a:t>Verwachte minimumbasis: 50 000 euro. </a:t>
          </a:r>
          <a:endParaRPr b="0" baseline="0" cap="none" i="0" spc="0" strike="noStrike" sz="1100" u="none">
            <a:solidFill>
              <a:srgbClr val="000000"/>
            </a:solidFill>
            <a:uFillTx/>
            <a:latin typeface="Avenir Book"/>
            <a:ea typeface="Avenir Book"/>
            <a:cs typeface="Avenir Book"/>
            <a:sym typeface="Avenir Book"/>
          </a:endParaRPr>
        </a:p>
        <a:p>
          <a:pPr marL="0" marR="0" indent="0" algn="l" defTabSz="914400" latinLnBrk="0">
            <a:lnSpc>
              <a:spcPct val="100000"/>
            </a:lnSpc>
            <a:spcBef>
              <a:spcPts val="0"/>
            </a:spcBef>
            <a:spcAft>
              <a:spcPts val="0"/>
            </a:spcAft>
            <a:buClrTx/>
            <a:buSzTx/>
            <a:buFontTx/>
            <a:buNone/>
            <a:tabLst/>
            <a:defRPr b="0" baseline="0" cap="none" i="0" spc="0" strike="noStrike" sz="1100" u="none">
              <a:solidFill>
                <a:srgbClr val="000000"/>
              </a:solidFill>
              <a:uFillTx/>
              <a:latin typeface="Avenir Book"/>
              <a:ea typeface="Avenir Book"/>
              <a:cs typeface="Avenir Book"/>
              <a:sym typeface="Avenir Book"/>
            </a:defRPr>
          </a:pPr>
          <a:endParaRPr b="0" baseline="0" cap="none" i="0" spc="0" strike="noStrike" sz="1100" u="none">
            <a:solidFill>
              <a:srgbClr val="000000"/>
            </a:solidFill>
            <a:uFillTx/>
            <a:latin typeface="Avenir Book"/>
            <a:ea typeface="Avenir Book"/>
            <a:cs typeface="Avenir Book"/>
            <a:sym typeface="Avenir Book"/>
          </a:endParaRPr>
        </a:p>
        <a:p>
          <a:pPr marL="0" marR="0" indent="0" algn="l" defTabSz="914400" latinLnBrk="0">
            <a:lnSpc>
              <a:spcPct val="100000"/>
            </a:lnSpc>
            <a:spcBef>
              <a:spcPts val="0"/>
            </a:spcBef>
            <a:spcAft>
              <a:spcPts val="0"/>
            </a:spcAft>
            <a:buClrTx/>
            <a:buSzTx/>
            <a:buFontTx/>
            <a:buNone/>
            <a:tabLst/>
            <a:defRPr b="0" baseline="0" cap="none" i="0" spc="0" strike="noStrike" sz="1100" u="none">
              <a:solidFill>
                <a:srgbClr val="000000"/>
              </a:solidFill>
              <a:uFillTx/>
              <a:latin typeface="Avenir Book"/>
              <a:ea typeface="Avenir Book"/>
              <a:cs typeface="Avenir Book"/>
              <a:sym typeface="Avenir Book"/>
            </a:defRPr>
          </a:pPr>
          <a:r>
            <a:rPr b="0" baseline="0" cap="none" i="0" spc="0" strike="noStrike" sz="1100" u="none">
              <a:solidFill>
                <a:srgbClr val="000000"/>
              </a:solidFill>
              <a:uFillTx/>
              <a:latin typeface="Avenir Book"/>
              <a:ea typeface="Avenir Book"/>
              <a:cs typeface="Avenir Book"/>
              <a:sym typeface="Avenir Book"/>
            </a:rPr>
            <a:t>Digitale marketing (17 500€): dit budget zal worden gebruikt voor de financiering van influencers, advertenties, reclamevideo's voor sociale netwerken, alsook de betaling van een extern bedrijf voor het communautair beheer </a:t>
          </a:r>
          <a:endParaRPr b="0" baseline="0" cap="none" i="0" spc="0" strike="noStrike" sz="1100" u="none">
            <a:solidFill>
              <a:srgbClr val="000000"/>
            </a:solidFill>
            <a:uFillTx/>
            <a:latin typeface="Avenir Book"/>
            <a:ea typeface="Avenir Book"/>
            <a:cs typeface="Avenir Book"/>
            <a:sym typeface="Avenir Book"/>
          </a:endParaRPr>
        </a:p>
        <a:p>
          <a:pPr marL="0" marR="0" indent="0" algn="l" defTabSz="914400" latinLnBrk="0">
            <a:lnSpc>
              <a:spcPct val="100000"/>
            </a:lnSpc>
            <a:spcBef>
              <a:spcPts val="0"/>
            </a:spcBef>
            <a:spcAft>
              <a:spcPts val="0"/>
            </a:spcAft>
            <a:buClrTx/>
            <a:buSzTx/>
            <a:buFontTx/>
            <a:buNone/>
            <a:tabLst/>
            <a:defRPr b="0" baseline="0" cap="none" i="0" spc="0" strike="noStrike" sz="1100" u="none">
              <a:solidFill>
                <a:srgbClr val="000000"/>
              </a:solidFill>
              <a:uFillTx/>
              <a:latin typeface="Avenir Book"/>
              <a:ea typeface="Avenir Book"/>
              <a:cs typeface="Avenir Book"/>
              <a:sym typeface="Avenir Book"/>
            </a:defRPr>
          </a:pPr>
          <a:endParaRPr b="0" baseline="0" cap="none" i="0" spc="0" strike="noStrike" sz="1100" u="none">
            <a:solidFill>
              <a:srgbClr val="000000"/>
            </a:solidFill>
            <a:uFillTx/>
            <a:latin typeface="Avenir Book"/>
            <a:ea typeface="Avenir Book"/>
            <a:cs typeface="Avenir Book"/>
            <a:sym typeface="Avenir Book"/>
          </a:endParaRPr>
        </a:p>
        <a:p>
          <a:pPr marL="0" marR="0" indent="0" algn="l" defTabSz="914400" latinLnBrk="0">
            <a:lnSpc>
              <a:spcPct val="100000"/>
            </a:lnSpc>
            <a:spcBef>
              <a:spcPts val="0"/>
            </a:spcBef>
            <a:spcAft>
              <a:spcPts val="0"/>
            </a:spcAft>
            <a:buClrTx/>
            <a:buSzTx/>
            <a:buFontTx/>
            <a:buNone/>
            <a:tabLst/>
            <a:defRPr b="0" baseline="0" cap="none" i="0" spc="0" strike="noStrike" sz="1100" u="none">
              <a:solidFill>
                <a:srgbClr val="000000"/>
              </a:solidFill>
              <a:uFillTx/>
              <a:latin typeface="Avenir Book"/>
              <a:ea typeface="Avenir Book"/>
              <a:cs typeface="Avenir Book"/>
              <a:sym typeface="Avenir Book"/>
            </a:defRPr>
          </a:pPr>
          <a:r>
            <a:rPr b="0" baseline="0" cap="none" i="0" spc="0" strike="noStrike" sz="1100" u="none">
              <a:solidFill>
                <a:srgbClr val="000000"/>
              </a:solidFill>
              <a:uFillTx/>
              <a:latin typeface="Avenir Book"/>
              <a:ea typeface="Avenir Book"/>
              <a:cs typeface="Avenir Book"/>
              <a:sym typeface="Avenir Book"/>
            </a:rPr>
            <a:t>O&amp;O (7 500 euro): met dit budget zullen 2 wasproducten voor mannen en een deodorant voor schoenen vóór februari 2022 worden afgewerkt. </a:t>
          </a:r>
          <a:endParaRPr b="0" baseline="0" cap="none" i="0" spc="0" strike="noStrike" sz="1100" u="none">
            <a:solidFill>
              <a:srgbClr val="000000"/>
            </a:solidFill>
            <a:uFillTx/>
            <a:latin typeface="Avenir Book"/>
            <a:ea typeface="Avenir Book"/>
            <a:cs typeface="Avenir Book"/>
            <a:sym typeface="Avenir Book"/>
          </a:endParaRPr>
        </a:p>
        <a:p>
          <a:pPr marL="0" marR="0" indent="0" algn="l" defTabSz="914400" latinLnBrk="0">
            <a:lnSpc>
              <a:spcPct val="100000"/>
            </a:lnSpc>
            <a:spcBef>
              <a:spcPts val="0"/>
            </a:spcBef>
            <a:spcAft>
              <a:spcPts val="0"/>
            </a:spcAft>
            <a:buClrTx/>
            <a:buSzTx/>
            <a:buFontTx/>
            <a:buNone/>
            <a:tabLst/>
            <a:defRPr b="0" baseline="0" cap="none" i="0" spc="0" strike="noStrike" sz="1100" u="none">
              <a:solidFill>
                <a:srgbClr val="000000"/>
              </a:solidFill>
              <a:uFillTx/>
              <a:latin typeface="Avenir Book"/>
              <a:ea typeface="Avenir Book"/>
              <a:cs typeface="Avenir Book"/>
              <a:sym typeface="Avenir Book"/>
            </a:defRPr>
          </a:pPr>
          <a:endParaRPr b="0" baseline="0" cap="none" i="0" spc="0" strike="noStrike" sz="1100" u="none">
            <a:solidFill>
              <a:srgbClr val="000000"/>
            </a:solidFill>
            <a:uFillTx/>
            <a:latin typeface="Avenir Book"/>
            <a:ea typeface="Avenir Book"/>
            <a:cs typeface="Avenir Book"/>
            <a:sym typeface="Avenir Book"/>
          </a:endParaRPr>
        </a:p>
        <a:p>
          <a:pPr marL="0" marR="0" indent="0" algn="l" defTabSz="914400" latinLnBrk="0">
            <a:lnSpc>
              <a:spcPct val="100000"/>
            </a:lnSpc>
            <a:spcBef>
              <a:spcPts val="0"/>
            </a:spcBef>
            <a:spcAft>
              <a:spcPts val="0"/>
            </a:spcAft>
            <a:buClrTx/>
            <a:buSzTx/>
            <a:buFontTx/>
            <a:buNone/>
            <a:tabLst/>
            <a:defRPr b="0" baseline="0" cap="none" i="0" spc="0" strike="noStrike" sz="1100" u="none">
              <a:solidFill>
                <a:srgbClr val="000000"/>
              </a:solidFill>
              <a:uFillTx/>
              <a:latin typeface="Avenir Book"/>
              <a:ea typeface="Avenir Book"/>
              <a:cs typeface="Avenir Book"/>
              <a:sym typeface="Avenir Book"/>
            </a:defRPr>
          </a:pPr>
          <a:r>
            <a:rPr b="0" baseline="0" cap="none" i="0" spc="0" strike="noStrike" sz="1100" u="none">
              <a:solidFill>
                <a:srgbClr val="000000"/>
              </a:solidFill>
              <a:uFillTx/>
              <a:latin typeface="Avenir Book"/>
              <a:ea typeface="Avenir Book"/>
              <a:cs typeface="Avenir Book"/>
              <a:sym typeface="Avenir Book"/>
            </a:rPr>
            <a:t>Verkoop (7 500€) : dit budget zal worden gebruikt om de commissies van de eerste verkopen van de verkoper te financieren, alsook de display-units die ter beschikking zullen worden gesteld. </a:t>
          </a:r>
          <a:endParaRPr b="0" baseline="0" cap="none" i="0" spc="0" strike="noStrike" sz="1100" u="none">
            <a:solidFill>
              <a:srgbClr val="000000"/>
            </a:solidFill>
            <a:uFillTx/>
            <a:latin typeface="Avenir Book"/>
            <a:ea typeface="Avenir Book"/>
            <a:cs typeface="Avenir Book"/>
            <a:sym typeface="Avenir Book"/>
          </a:endParaRPr>
        </a:p>
        <a:p>
          <a:pPr marL="0" marR="0" indent="0" algn="l" defTabSz="914400" latinLnBrk="0">
            <a:lnSpc>
              <a:spcPct val="100000"/>
            </a:lnSpc>
            <a:spcBef>
              <a:spcPts val="0"/>
            </a:spcBef>
            <a:spcAft>
              <a:spcPts val="0"/>
            </a:spcAft>
            <a:buClrTx/>
            <a:buSzTx/>
            <a:buFontTx/>
            <a:buNone/>
            <a:tabLst/>
            <a:defRPr b="0" baseline="0" cap="none" i="0" spc="0" strike="noStrike" sz="1100" u="none">
              <a:solidFill>
                <a:srgbClr val="000000"/>
              </a:solidFill>
              <a:uFillTx/>
              <a:latin typeface="Avenir Book"/>
              <a:ea typeface="Avenir Book"/>
              <a:cs typeface="Avenir Book"/>
              <a:sym typeface="Avenir Book"/>
            </a:defRPr>
          </a:pPr>
          <a:endParaRPr b="0" baseline="0" cap="none" i="0" spc="0" strike="noStrike" sz="1100" u="none">
            <a:solidFill>
              <a:srgbClr val="000000"/>
            </a:solidFill>
            <a:uFillTx/>
            <a:latin typeface="Avenir Book"/>
            <a:ea typeface="Avenir Book"/>
            <a:cs typeface="Avenir Book"/>
            <a:sym typeface="Avenir Book"/>
          </a:endParaRPr>
        </a:p>
        <a:p>
          <a:pPr marL="0" marR="0" indent="0" algn="l" defTabSz="914400" latinLnBrk="0">
            <a:lnSpc>
              <a:spcPct val="100000"/>
            </a:lnSpc>
            <a:spcBef>
              <a:spcPts val="0"/>
            </a:spcBef>
            <a:spcAft>
              <a:spcPts val="0"/>
            </a:spcAft>
            <a:buClrTx/>
            <a:buSzTx/>
            <a:buFontTx/>
            <a:buNone/>
            <a:tabLst/>
            <a:defRPr b="0" baseline="0" cap="none" i="0" spc="0" strike="noStrike" sz="1100" u="none">
              <a:solidFill>
                <a:srgbClr val="000000"/>
              </a:solidFill>
              <a:uFillTx/>
              <a:latin typeface="Avenir Book"/>
              <a:ea typeface="Avenir Book"/>
              <a:cs typeface="Avenir Book"/>
              <a:sym typeface="Avenir Book"/>
            </a:defRPr>
          </a:pPr>
          <a:r>
            <a:rPr b="0" baseline="0" cap="none" i="0" spc="0" strike="noStrike" sz="1100" u="none">
              <a:solidFill>
                <a:srgbClr val="000000"/>
              </a:solidFill>
              <a:uFillTx/>
              <a:latin typeface="Avenir Book"/>
              <a:ea typeface="Avenir Book"/>
              <a:cs typeface="Avenir Book"/>
              <a:sym typeface="Avenir Book"/>
            </a:rPr>
            <a:t>Productie (7 500€) : met dit budget zullen 20 000 producten worden gefinancierd bovenop de huidige voorraad van 15 000 producten om over de nodige voorraad te beschikken om alle klanten het eerste jaar te kunnen bevoorraden. </a:t>
          </a:r>
          <a:endParaRPr b="0" baseline="0" cap="none" i="0" spc="0" strike="noStrike" sz="1100" u="none">
            <a:solidFill>
              <a:srgbClr val="000000"/>
            </a:solidFill>
            <a:uFillTx/>
            <a:latin typeface="Avenir Book"/>
            <a:ea typeface="Avenir Book"/>
            <a:cs typeface="Avenir Book"/>
            <a:sym typeface="Avenir Book"/>
          </a:endParaRPr>
        </a:p>
        <a:p>
          <a:pPr marL="0" marR="0" indent="0" algn="l" defTabSz="914400" latinLnBrk="0">
            <a:lnSpc>
              <a:spcPct val="100000"/>
            </a:lnSpc>
            <a:spcBef>
              <a:spcPts val="0"/>
            </a:spcBef>
            <a:spcAft>
              <a:spcPts val="0"/>
            </a:spcAft>
            <a:buClrTx/>
            <a:buSzTx/>
            <a:buFontTx/>
            <a:buNone/>
            <a:tabLst/>
            <a:defRPr b="0" baseline="0" cap="none" i="0" spc="0" strike="noStrike" sz="1100" u="none">
              <a:solidFill>
                <a:srgbClr val="000000"/>
              </a:solidFill>
              <a:uFillTx/>
              <a:latin typeface="Avenir Book"/>
              <a:ea typeface="Avenir Book"/>
              <a:cs typeface="Avenir Book"/>
              <a:sym typeface="Avenir Book"/>
            </a:defRPr>
          </a:pPr>
          <a:endParaRPr b="0" baseline="0" cap="none" i="0" spc="0" strike="noStrike" sz="1100" u="none">
            <a:solidFill>
              <a:srgbClr val="000000"/>
            </a:solidFill>
            <a:uFillTx/>
            <a:latin typeface="Avenir Book"/>
            <a:ea typeface="Avenir Book"/>
            <a:cs typeface="Avenir Book"/>
            <a:sym typeface="Avenir Book"/>
          </a:endParaRPr>
        </a:p>
        <a:p>
          <a:pPr marL="0" marR="0" indent="0" algn="l" defTabSz="914400" latinLnBrk="0">
            <a:lnSpc>
              <a:spcPct val="100000"/>
            </a:lnSpc>
            <a:spcBef>
              <a:spcPts val="0"/>
            </a:spcBef>
            <a:spcAft>
              <a:spcPts val="0"/>
            </a:spcAft>
            <a:buClrTx/>
            <a:buSzTx/>
            <a:buFontTx/>
            <a:buNone/>
            <a:tabLst/>
            <a:defRPr b="0" baseline="0" cap="none" i="0" spc="0" strike="noStrike" sz="1100" u="none">
              <a:solidFill>
                <a:srgbClr val="000000"/>
              </a:solidFill>
              <a:uFillTx/>
              <a:latin typeface="Avenir Book"/>
              <a:ea typeface="Avenir Book"/>
              <a:cs typeface="Avenir Book"/>
              <a:sym typeface="Avenir Book"/>
            </a:defRPr>
          </a:pPr>
          <a:r>
            <a:rPr b="0" baseline="0" cap="none" i="0" spc="0" strike="noStrike" sz="1100" u="none">
              <a:solidFill>
                <a:srgbClr val="000000"/>
              </a:solidFill>
              <a:uFillTx/>
              <a:latin typeface="Avenir Book"/>
              <a:ea typeface="Avenir Book"/>
              <a:cs typeface="Avenir Book"/>
              <a:sym typeface="Avenir Book"/>
            </a:rPr>
            <a:t>Fysieke marketing (7 500€): met dit budget zal de creatie van visuele dragers voor de verkooppunten worden gefinancierd. </a:t>
          </a:r>
        </a:p>
      </xdr:txBody>
    </xdr:sp>
    <xdr:clientData/>
  </xdr:twoCellAnchor>
  <xdr:twoCellAnchor>
    <xdr:from>
      <xdr:col>0</xdr:col>
      <xdr:colOff>525972</xdr:colOff>
      <xdr:row>9</xdr:row>
      <xdr:rowOff>102088</xdr:rowOff>
    </xdr:from>
    <xdr:to>
      <xdr:col>4</xdr:col>
      <xdr:colOff>6067</xdr:colOff>
      <xdr:row>27</xdr:row>
      <xdr:rowOff>15898</xdr:rowOff>
    </xdr:to>
    <xdr:grpSp>
      <xdr:nvGrpSpPr>
        <xdr:cNvPr id="9" name="Grouper"/>
        <xdr:cNvGrpSpPr/>
      </xdr:nvGrpSpPr>
      <xdr:grpSpPr>
        <a:xfrm>
          <a:off x="525972" y="3008483"/>
          <a:ext cx="3061496" cy="3434251"/>
          <a:chOff x="-19050" y="0"/>
          <a:chExt cx="3061494" cy="3434250"/>
        </a:xfrm>
      </xdr:grpSpPr>
      <xdr:graphicFrame>
        <xdr:nvGraphicFramePr>
          <xdr:cNvPr id="7" name="Diagramme 2D circulaire"/>
          <xdr:cNvGraphicFramePr/>
        </xdr:nvGraphicFramePr>
        <xdr:xfrm>
          <a:off x="0" y="0"/>
          <a:ext cx="3023395" cy="3023395"/>
        </xdr:xfrm>
        <a:graphic xmlns:a="http://schemas.openxmlformats.org/drawingml/2006/main">
          <a:graphicData uri="http://schemas.openxmlformats.org/drawingml/2006/chart">
            <c:chart xmlns:c="http://schemas.openxmlformats.org/drawingml/2006/chart" r:id="rId1"/>
          </a:graphicData>
        </a:graphic>
      </xdr:graphicFrame>
      <xdr:sp>
        <xdr:nvSpPr>
          <xdr:cNvPr id="8" name="Caption"/>
          <xdr:cNvSpPr/>
        </xdr:nvSpPr>
        <xdr:spPr>
          <a:xfrm>
            <a:off x="-19050" y="3103418"/>
            <a:ext cx="3061495" cy="330833"/>
          </a:xfrm>
          <a:prstGeom prst="roundRect">
            <a:avLst>
              <a:gd name="adj" fmla="val 0"/>
            </a:avLst>
          </a:prstGeom>
          <a:solidFill>
            <a:srgbClr val="000000">
              <a:alpha val="0"/>
            </a:srgbClr>
          </a:solidFill>
          <a:ln w="12700" cap="flat">
            <a:noFill/>
            <a:miter lim="400000"/>
          </a:ln>
          <a:effectLst/>
          <a:extLst>
            <a:ext uri="{C572A759-6A51-4108-AA02-DFA0A04FC94B}">
              <ma14:wrappingTextBoxFlag xmlns:ma14="http://schemas.microsoft.com/office/mac/drawingml/2011/main" val="1"/>
            </a:ext>
          </a:extLst>
        </xdr:spPr>
        <xdr:txBody>
          <a:bodyPr wrap="square" lIns="50800" tIns="50800" rIns="50800" bIns="50800" numCol="1" anchor="t">
            <a:noAutofit/>
          </a:bodyPr>
          <a:lstStyle/>
          <a:p>
            <a:pPr marL="0" marR="0" indent="0" algn="ctr" defTabSz="457200" rtl="0" latinLnBrk="0">
              <a:lnSpc>
                <a:spcPct val="100000"/>
              </a:lnSpc>
              <a:spcBef>
                <a:spcPts val="0"/>
              </a:spcBef>
              <a:spcAft>
                <a:spcPts val="0"/>
              </a:spcAft>
              <a:buClrTx/>
              <a:buSzTx/>
              <a:buFontTx/>
              <a:buNone/>
              <a:tabLst/>
              <a:defRPr b="0" baseline="0" cap="none" i="0" spc="0" strike="noStrike" sz="1200" u="none">
                <a:solidFill>
                  <a:srgbClr val="000000"/>
                </a:solidFill>
                <a:uFillTx/>
                <a:latin typeface="Helvetica Neue Light"/>
                <a:ea typeface="Helvetica Neue Light"/>
                <a:cs typeface="Helvetica Neue Light"/>
                <a:sym typeface="Helvetica Neue Light"/>
              </a:defRPr>
            </a:pPr>
            <a:r>
              <a:rPr b="0" baseline="0" cap="none" i="0" spc="0" strike="noStrike" sz="1200" u="none">
                <a:solidFill>
                  <a:srgbClr val="000000"/>
                </a:solidFill>
                <a:uFillTx/>
                <a:latin typeface="Helvetica Neue Light"/>
                <a:ea typeface="Helvetica Neue Light"/>
                <a:cs typeface="Helvetica Neue Light"/>
                <a:sym typeface="Helvetica Neue Light"/>
              </a:rPr>
              <a:t>Verdeling in % van begroting</a:t>
            </a:r>
          </a:p>
        </xdr:txBody>
      </xdr:sp>
    </xdr:grpSp>
    <xdr:clientData/>
  </xdr:twoCellAnchor>
  <xdr:twoCellAnchor>
    <xdr:from>
      <xdr:col>0</xdr:col>
      <xdr:colOff>423366</xdr:colOff>
      <xdr:row>0</xdr:row>
      <xdr:rowOff>159688</xdr:rowOff>
    </xdr:from>
    <xdr:to>
      <xdr:col>2</xdr:col>
      <xdr:colOff>1036522</xdr:colOff>
      <xdr:row>0</xdr:row>
      <xdr:rowOff>965884</xdr:rowOff>
    </xdr:to>
    <xdr:sp>
      <xdr:nvSpPr>
        <xdr:cNvPr id="10" name="Financiering"/>
        <xdr:cNvSpPr txBox="1"/>
      </xdr:nvSpPr>
      <xdr:spPr>
        <a:xfrm>
          <a:off x="423366" y="159688"/>
          <a:ext cx="2670557" cy="806197"/>
        </a:xfrm>
        <a:prstGeom prst="rect">
          <a:avLst/>
        </a:prstGeom>
        <a:noFill/>
        <a:ln w="12700" cap="flat">
          <a:noFill/>
          <a:miter lim="400000"/>
        </a:ln>
        <a:effectLst/>
        <a:extLst>
          <a:ext uri="{C572A759-6A51-4108-AA02-DFA0A04FC94B}">
            <ma14:wrappingTextBoxFlag xmlns:ma14="http://schemas.microsoft.com/office/mac/drawingml/2011/main" val="1"/>
          </a:ext>
        </a:extLst>
      </xdr:spPr>
      <xdr:txBody>
        <a:bodyPr wrap="none" lIns="45719" tIns="45719" rIns="45719" bIns="45719" numCol="1" anchor="t">
          <a:spAutoFit/>
        </a:bodyPr>
        <a:lstStyle/>
        <a:p>
          <a:pPr marL="0" marR="0" indent="0" algn="l" defTabSz="914400" latinLnBrk="0">
            <a:lnSpc>
              <a:spcPct val="100000"/>
            </a:lnSpc>
            <a:spcBef>
              <a:spcPts val="0"/>
            </a:spcBef>
            <a:spcAft>
              <a:spcPts val="0"/>
            </a:spcAft>
            <a:buClrTx/>
            <a:buSzTx/>
            <a:buFontTx/>
            <a:buNone/>
            <a:tabLst/>
            <a:defRPr b="0" baseline="0" cap="none" i="0" spc="0" strike="noStrike" sz="3500" u="none">
              <a:solidFill>
                <a:srgbClr val="000000"/>
              </a:solidFill>
              <a:uFillTx/>
              <a:latin typeface="Avenir Heavy"/>
              <a:ea typeface="Avenir Heavy"/>
              <a:cs typeface="Avenir Heavy"/>
              <a:sym typeface="Avenir Heavy"/>
            </a:defRPr>
          </a:pPr>
          <a:r>
            <a:rPr b="0" baseline="0" cap="none" i="0" spc="0" strike="noStrike" sz="3500" u="none">
              <a:solidFill>
                <a:srgbClr val="000000"/>
              </a:solidFill>
              <a:uFillTx/>
              <a:latin typeface="Avenir Heavy"/>
              <a:ea typeface="Avenir Heavy"/>
              <a:cs typeface="Avenir Heavy"/>
              <a:sym typeface="Avenir Heavy"/>
            </a:rPr>
            <a:t>Financiering</a:t>
          </a:r>
        </a:p>
      </xdr:txBody>
    </xdr:sp>
    <xdr:clientData/>
  </xdr:twoCellAnchor>
</xdr:wsDr>
</file>

<file path=xl/drawings/drawing3.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0</xdr:col>
      <xdr:colOff>527050</xdr:colOff>
      <xdr:row>17</xdr:row>
      <xdr:rowOff>37292</xdr:rowOff>
    </xdr:from>
    <xdr:to>
      <xdr:col>6</xdr:col>
      <xdr:colOff>181933</xdr:colOff>
      <xdr:row>32</xdr:row>
      <xdr:rowOff>56723</xdr:rowOff>
    </xdr:to>
    <xdr:sp>
      <xdr:nvSpPr>
        <xdr:cNvPr id="12" name="Opmerkingen:…"/>
        <xdr:cNvSpPr txBox="1"/>
      </xdr:nvSpPr>
      <xdr:spPr>
        <a:xfrm>
          <a:off x="527050" y="4170507"/>
          <a:ext cx="7046284" cy="2953132"/>
        </a:xfrm>
        <a:prstGeom prst="rect">
          <a:avLst/>
        </a:prstGeom>
        <a:noFill/>
        <a:ln w="12700" cap="flat">
          <a:noFill/>
          <a:miter lim="400000"/>
        </a:ln>
        <a:effectLst/>
        <a:extLst>
          <a:ext uri="{C572A759-6A51-4108-AA02-DFA0A04FC94B}">
            <ma14:wrappingTextBoxFlag xmlns:ma14="http://schemas.microsoft.com/office/mac/drawingml/2011/main" val="1"/>
          </a:ext>
        </a:extLst>
      </xdr:spPr>
      <xdr:txBody>
        <a:bodyPr wrap="square" lIns="45719" tIns="45719" rIns="45719" bIns="45719" numCol="1" anchor="t">
          <a:spAutoFit/>
        </a:bodyPr>
        <a:lstStyle/>
        <a:p>
          <a:pPr marL="0" marR="0" indent="0" algn="l" defTabSz="914400" latinLnBrk="0">
            <a:lnSpc>
              <a:spcPct val="100000"/>
            </a:lnSpc>
            <a:spcBef>
              <a:spcPts val="0"/>
            </a:spcBef>
            <a:spcAft>
              <a:spcPts val="0"/>
            </a:spcAft>
            <a:buClrTx/>
            <a:buSzTx/>
            <a:buFontTx/>
            <a:buNone/>
            <a:tabLst/>
            <a:defRPr b="0" baseline="0" cap="none" i="0" spc="0" strike="noStrike" sz="1100" u="none">
              <a:solidFill>
                <a:srgbClr val="000000"/>
              </a:solidFill>
              <a:uFillTx/>
              <a:latin typeface="Avenir Book"/>
              <a:ea typeface="Avenir Book"/>
              <a:cs typeface="Avenir Book"/>
              <a:sym typeface="Avenir Book"/>
            </a:defRPr>
          </a:pPr>
          <a:r>
            <a:rPr b="0" baseline="0" cap="none" i="0" spc="0" strike="noStrike" sz="1100" u="none">
              <a:solidFill>
                <a:srgbClr val="000000"/>
              </a:solidFill>
              <a:uFillTx/>
              <a:latin typeface="Avenir Book"/>
              <a:ea typeface="Avenir Book"/>
              <a:cs typeface="Avenir Book"/>
              <a:sym typeface="Avenir Book"/>
            </a:rPr>
            <a:t>Opmerkingen: </a:t>
          </a:r>
          <a:endParaRPr b="0" baseline="0" cap="none" i="0" spc="0" strike="noStrike" sz="1100" u="none">
            <a:solidFill>
              <a:srgbClr val="000000"/>
            </a:solidFill>
            <a:uFillTx/>
            <a:latin typeface="Avenir Book"/>
            <a:ea typeface="Avenir Book"/>
            <a:cs typeface="Avenir Book"/>
            <a:sym typeface="Avenir Book"/>
          </a:endParaRPr>
        </a:p>
        <a:p>
          <a:pPr marL="0" marR="0" indent="0" algn="l" defTabSz="914400" latinLnBrk="0">
            <a:lnSpc>
              <a:spcPct val="100000"/>
            </a:lnSpc>
            <a:spcBef>
              <a:spcPts val="0"/>
            </a:spcBef>
            <a:spcAft>
              <a:spcPts val="0"/>
            </a:spcAft>
            <a:buClrTx/>
            <a:buSzTx/>
            <a:buFontTx/>
            <a:buNone/>
            <a:tabLst/>
            <a:defRPr b="0" baseline="0" cap="none" i="0" spc="0" strike="noStrike" sz="1100" u="none">
              <a:solidFill>
                <a:srgbClr val="000000"/>
              </a:solidFill>
              <a:uFillTx/>
              <a:latin typeface="Avenir Book"/>
              <a:ea typeface="Avenir Book"/>
              <a:cs typeface="Avenir Book"/>
              <a:sym typeface="Avenir Book"/>
            </a:defRPr>
          </a:pPr>
          <a:endParaRPr b="0" baseline="0" cap="none" i="0" spc="0" strike="noStrike" sz="1100" u="none">
            <a:solidFill>
              <a:srgbClr val="000000"/>
            </a:solidFill>
            <a:uFillTx/>
            <a:latin typeface="Avenir Book"/>
            <a:ea typeface="Avenir Book"/>
            <a:cs typeface="Avenir Book"/>
            <a:sym typeface="Avenir Book"/>
          </a:endParaRPr>
        </a:p>
        <a:p>
          <a:pPr marL="0" marR="0" indent="0" algn="l" defTabSz="914400" latinLnBrk="0">
            <a:lnSpc>
              <a:spcPct val="100000"/>
            </a:lnSpc>
            <a:spcBef>
              <a:spcPts val="0"/>
            </a:spcBef>
            <a:spcAft>
              <a:spcPts val="0"/>
            </a:spcAft>
            <a:buClrTx/>
            <a:buSzTx/>
            <a:buFontTx/>
            <a:buNone/>
            <a:tabLst/>
            <a:defRPr b="0" baseline="0" cap="none" i="0" spc="0" strike="noStrike" sz="1100" u="none">
              <a:solidFill>
                <a:srgbClr val="000000"/>
              </a:solidFill>
              <a:uFillTx/>
              <a:latin typeface="Avenir Book"/>
              <a:ea typeface="Avenir Book"/>
              <a:cs typeface="Avenir Book"/>
              <a:sym typeface="Avenir Book"/>
            </a:defRPr>
          </a:pPr>
          <a:r>
            <a:rPr b="0" baseline="0" cap="none" i="0" spc="0" strike="noStrike" sz="1100" u="none">
              <a:solidFill>
                <a:srgbClr val="000000"/>
              </a:solidFill>
              <a:uFillTx/>
              <a:latin typeface="Avenir Book"/>
              <a:ea typeface="Avenir Book"/>
              <a:cs typeface="Avenir Book"/>
              <a:sym typeface="Avenir Book"/>
            </a:rPr>
            <a:t>1 Marges op het web: deze zijn uiteraard het interessantst. Wij constateren dat wij gemiddeld een marge van meer dan 650% behalen, hetgeen ruim boven de huidige markt ligt (400% in de directe verkoop), terwijl wij verkoopprijzen hanteren die onder het gemiddelde van de markt liggen.</a:t>
          </a:r>
          <a:endParaRPr b="0" baseline="0" cap="none" i="0" spc="0" strike="noStrike" sz="1100" u="none">
            <a:solidFill>
              <a:srgbClr val="000000"/>
            </a:solidFill>
            <a:uFillTx/>
            <a:latin typeface="Avenir Book"/>
            <a:ea typeface="Avenir Book"/>
            <a:cs typeface="Avenir Book"/>
            <a:sym typeface="Avenir Book"/>
          </a:endParaRPr>
        </a:p>
        <a:p>
          <a:pPr marL="0" marR="0" indent="0" algn="l" defTabSz="914400" latinLnBrk="0">
            <a:lnSpc>
              <a:spcPct val="100000"/>
            </a:lnSpc>
            <a:spcBef>
              <a:spcPts val="0"/>
            </a:spcBef>
            <a:spcAft>
              <a:spcPts val="0"/>
            </a:spcAft>
            <a:buClrTx/>
            <a:buSzTx/>
            <a:buFontTx/>
            <a:buNone/>
            <a:tabLst/>
            <a:defRPr b="0" baseline="0" cap="none" i="0" spc="0" strike="noStrike" sz="1100" u="none">
              <a:solidFill>
                <a:srgbClr val="000000"/>
              </a:solidFill>
              <a:uFillTx/>
              <a:latin typeface="Avenir Book"/>
              <a:ea typeface="Avenir Book"/>
              <a:cs typeface="Avenir Book"/>
              <a:sym typeface="Avenir Book"/>
            </a:defRPr>
          </a:pPr>
          <a:r>
            <a:rPr b="0" baseline="0" cap="none" i="0" spc="0" strike="noStrike" sz="1100" u="none">
              <a:solidFill>
                <a:srgbClr val="000000"/>
              </a:solidFill>
              <a:uFillTx/>
              <a:latin typeface="Avenir Book"/>
              <a:ea typeface="Avenir Book"/>
              <a:cs typeface="Avenir Book"/>
              <a:sym typeface="Avenir Book"/>
            </a:rPr>
            <a:t>2 De verkoopprijzen in de verkooppunten stellen de winkel in staat een voldoende en meer dan aanvaardbare marge te behalen in de cosmeticasector, terwijl aan onze kant een coëfficiënt van 4 behouden blijft.</a:t>
          </a:r>
          <a:endParaRPr b="0" baseline="0" cap="none" i="0" spc="0" strike="noStrike" sz="1100" u="none">
            <a:solidFill>
              <a:srgbClr val="000000"/>
            </a:solidFill>
            <a:uFillTx/>
            <a:latin typeface="Avenir Book"/>
            <a:ea typeface="Avenir Book"/>
            <a:cs typeface="Avenir Book"/>
            <a:sym typeface="Avenir Book"/>
          </a:endParaRPr>
        </a:p>
        <a:p>
          <a:pPr marL="0" marR="0" indent="0" algn="l" defTabSz="914400" latinLnBrk="0">
            <a:lnSpc>
              <a:spcPct val="100000"/>
            </a:lnSpc>
            <a:spcBef>
              <a:spcPts val="0"/>
            </a:spcBef>
            <a:spcAft>
              <a:spcPts val="0"/>
            </a:spcAft>
            <a:buClrTx/>
            <a:buSzTx/>
            <a:buFontTx/>
            <a:buNone/>
            <a:tabLst/>
            <a:defRPr b="0" baseline="0" cap="none" i="0" spc="0" strike="noStrike" sz="1100" u="none">
              <a:solidFill>
                <a:srgbClr val="000000"/>
              </a:solidFill>
              <a:uFillTx/>
              <a:latin typeface="Avenir Book"/>
              <a:ea typeface="Avenir Book"/>
              <a:cs typeface="Avenir Book"/>
              <a:sym typeface="Avenir Book"/>
            </a:defRPr>
          </a:pPr>
          <a:r>
            <a:rPr b="0" baseline="0" cap="none" i="0" spc="0" strike="noStrike" sz="1100" u="none">
              <a:solidFill>
                <a:srgbClr val="000000"/>
              </a:solidFill>
              <a:uFillTx/>
              <a:latin typeface="Avenir Book"/>
              <a:ea typeface="Avenir Book"/>
              <a:cs typeface="Avenir Book"/>
              <a:sym typeface="Avenir Book"/>
            </a:rPr>
            <a:t>3 Deze verkoop- en aankoopprijzen zijn exclusief BTW.</a:t>
          </a:r>
          <a:endParaRPr b="0" baseline="0" cap="none" i="0" spc="0" strike="noStrike" sz="1100" u="none">
            <a:solidFill>
              <a:srgbClr val="000000"/>
            </a:solidFill>
            <a:uFillTx/>
            <a:latin typeface="Avenir Book"/>
            <a:ea typeface="Avenir Book"/>
            <a:cs typeface="Avenir Book"/>
            <a:sym typeface="Avenir Book"/>
          </a:endParaRPr>
        </a:p>
        <a:p>
          <a:pPr marL="0" marR="0" indent="0" algn="l" defTabSz="914400" latinLnBrk="0">
            <a:lnSpc>
              <a:spcPct val="100000"/>
            </a:lnSpc>
            <a:spcBef>
              <a:spcPts val="0"/>
            </a:spcBef>
            <a:spcAft>
              <a:spcPts val="0"/>
            </a:spcAft>
            <a:buClrTx/>
            <a:buSzTx/>
            <a:buFontTx/>
            <a:buNone/>
            <a:tabLst/>
            <a:defRPr b="0" baseline="0" cap="none" i="0" spc="0" strike="noStrike" sz="1100" u="none">
              <a:solidFill>
                <a:srgbClr val="000000"/>
              </a:solidFill>
              <a:uFillTx/>
              <a:latin typeface="Avenir Book"/>
              <a:ea typeface="Avenir Book"/>
              <a:cs typeface="Avenir Book"/>
              <a:sym typeface="Avenir Book"/>
            </a:defRPr>
          </a:pPr>
          <a:r>
            <a:rPr b="0" baseline="0" cap="none" i="0" spc="0" strike="noStrike" sz="1100" u="none">
              <a:solidFill>
                <a:srgbClr val="000000"/>
              </a:solidFill>
              <a:uFillTx/>
              <a:latin typeface="Avenir Book"/>
              <a:ea typeface="Avenir Book"/>
              <a:cs typeface="Avenir Book"/>
              <a:sym typeface="Avenir Book"/>
            </a:rPr>
            <a:t>4 Dankzij deze lage fabricageprijzen kunnen wij, afhankelijk van het volume van de geplaatste bestellingen, een hoge onderhandelingsmarge hebben en de deur niet sluiten voor grote spelers of internationale markten. </a:t>
          </a:r>
          <a:endParaRPr b="0" baseline="0" cap="none" i="0" spc="0" strike="noStrike" sz="1100" u="none">
            <a:solidFill>
              <a:srgbClr val="000000"/>
            </a:solidFill>
            <a:uFillTx/>
            <a:latin typeface="Avenir Book"/>
            <a:ea typeface="Avenir Book"/>
            <a:cs typeface="Avenir Book"/>
            <a:sym typeface="Avenir Book"/>
          </a:endParaRPr>
        </a:p>
        <a:p>
          <a:pPr marL="0" marR="0" indent="0" algn="l" defTabSz="914400" latinLnBrk="0">
            <a:lnSpc>
              <a:spcPct val="100000"/>
            </a:lnSpc>
            <a:spcBef>
              <a:spcPts val="0"/>
            </a:spcBef>
            <a:spcAft>
              <a:spcPts val="0"/>
            </a:spcAft>
            <a:buClrTx/>
            <a:buSzTx/>
            <a:buFontTx/>
            <a:buNone/>
            <a:tabLst/>
            <a:defRPr b="0" baseline="0" cap="none" i="0" spc="0" strike="noStrike" sz="1100" u="none">
              <a:solidFill>
                <a:srgbClr val="000000"/>
              </a:solidFill>
              <a:uFillTx/>
              <a:latin typeface="Avenir Book"/>
              <a:ea typeface="Avenir Book"/>
              <a:cs typeface="Avenir Book"/>
              <a:sym typeface="Avenir Book"/>
            </a:defRPr>
          </a:pPr>
          <a:endParaRPr b="0" baseline="0" cap="none" i="0" spc="0" strike="noStrike" sz="1100" u="none">
            <a:solidFill>
              <a:srgbClr val="000000"/>
            </a:solidFill>
            <a:uFillTx/>
            <a:latin typeface="Avenir Book"/>
            <a:ea typeface="Avenir Book"/>
            <a:cs typeface="Avenir Book"/>
            <a:sym typeface="Avenir Book"/>
          </a:endParaRPr>
        </a:p>
        <a:p>
          <a:pPr marL="0" marR="0" indent="0" algn="l" defTabSz="914400" latinLnBrk="0">
            <a:lnSpc>
              <a:spcPct val="100000"/>
            </a:lnSpc>
            <a:spcBef>
              <a:spcPts val="0"/>
            </a:spcBef>
            <a:spcAft>
              <a:spcPts val="0"/>
            </a:spcAft>
            <a:buClrTx/>
            <a:buSzTx/>
            <a:buFontTx/>
            <a:buNone/>
            <a:tabLst/>
            <a:defRPr b="0" baseline="0" cap="none" i="0" spc="0" strike="noStrike" sz="1100" u="none">
              <a:solidFill>
                <a:srgbClr val="000000"/>
              </a:solidFill>
              <a:uFillTx/>
              <a:latin typeface="Avenir Book"/>
              <a:ea typeface="Avenir Book"/>
              <a:cs typeface="Avenir Book"/>
              <a:sym typeface="Avenir Book"/>
            </a:defRPr>
          </a:pPr>
          <a:endParaRPr b="0" baseline="0" cap="none" i="0" spc="0" strike="noStrike" sz="1100" u="none">
            <a:solidFill>
              <a:srgbClr val="000000"/>
            </a:solidFill>
            <a:uFillTx/>
            <a:latin typeface="Avenir Book"/>
            <a:ea typeface="Avenir Book"/>
            <a:cs typeface="Avenir Book"/>
            <a:sym typeface="Avenir Book"/>
          </a:endParaRPr>
        </a:p>
      </xdr:txBody>
    </xdr:sp>
    <xdr:clientData/>
  </xdr:twoCellAnchor>
  <xdr:twoCellAnchor>
    <xdr:from>
      <xdr:col>0</xdr:col>
      <xdr:colOff>527050</xdr:colOff>
      <xdr:row>29</xdr:row>
      <xdr:rowOff>153797</xdr:rowOff>
    </xdr:from>
    <xdr:to>
      <xdr:col>6</xdr:col>
      <xdr:colOff>181933</xdr:colOff>
      <xdr:row>34</xdr:row>
      <xdr:rowOff>157353</xdr:rowOff>
    </xdr:to>
    <xdr:sp>
      <xdr:nvSpPr>
        <xdr:cNvPr id="13" name="NB: De kostprijzen van de producten zijn relatief gelijk, zoals uitgelegd en ontwikkeld in onze marketing hebben wij jarenlang gewerkt aan kostenoptimalisatie. Daartoe wordt ons O&amp;O-budget besteed aan onderzoek naar formules met dezelfde bestanddelen, ma"/>
        <xdr:cNvSpPr txBox="1"/>
      </xdr:nvSpPr>
      <xdr:spPr>
        <a:xfrm>
          <a:off x="527050" y="6633972"/>
          <a:ext cx="7046284" cy="981456"/>
        </a:xfrm>
        <a:prstGeom prst="rect">
          <a:avLst/>
        </a:prstGeom>
        <a:noFill/>
        <a:ln w="12700" cap="flat">
          <a:noFill/>
          <a:miter lim="400000"/>
        </a:ln>
        <a:effectLst/>
        <a:extLst>
          <a:ext uri="{C572A759-6A51-4108-AA02-DFA0A04FC94B}">
            <ma14:wrappingTextBoxFlag xmlns:ma14="http://schemas.microsoft.com/office/mac/drawingml/2011/main" val="1"/>
          </a:ext>
        </a:extLst>
      </xdr:spPr>
      <xdr:txBody>
        <a:bodyPr wrap="square" lIns="45719" tIns="45719" rIns="45719" bIns="45719" numCol="1" anchor="t">
          <a:spAutoFit/>
        </a:bodyPr>
        <a:lstStyle/>
        <a:p>
          <a:pPr marL="0" marR="0" indent="0" algn="l" defTabSz="914400" latinLnBrk="0">
            <a:lnSpc>
              <a:spcPct val="100000"/>
            </a:lnSpc>
            <a:spcBef>
              <a:spcPts val="0"/>
            </a:spcBef>
            <a:spcAft>
              <a:spcPts val="0"/>
            </a:spcAft>
            <a:buClrTx/>
            <a:buSzTx/>
            <a:buFontTx/>
            <a:buNone/>
            <a:tabLst/>
            <a:defRPr b="0" baseline="0" cap="none" i="0" spc="0" strike="noStrike" sz="1100" u="none">
              <a:solidFill>
                <a:srgbClr val="000000"/>
              </a:solidFill>
              <a:uFillTx/>
              <a:latin typeface="Avenir Book"/>
              <a:ea typeface="Avenir Book"/>
              <a:cs typeface="Avenir Book"/>
              <a:sym typeface="Avenir Book"/>
            </a:defRPr>
          </a:pPr>
          <a:r>
            <a:rPr b="0" baseline="0" cap="none" i="0" spc="0" strike="noStrike" sz="1100" u="none">
              <a:solidFill>
                <a:srgbClr val="000000"/>
              </a:solidFill>
              <a:uFillTx/>
              <a:latin typeface="Avenir Book"/>
              <a:ea typeface="Avenir Book"/>
              <a:cs typeface="Avenir Book"/>
              <a:sym typeface="Avenir Book"/>
            </a:rPr>
            <a:t>NB: De kostprijzen van de producten zijn relatief gelijk, zoals uitgelegd en ontwikkeld in onze marketing hebben wij jarenlang gewerkt aan kostenoptimalisatie. Daartoe wordt ons O&amp;O-budget besteed aan onderzoek naar formules met dezelfde bestanddelen, maar in verschillende doseringen. Dit stelt ons in staat grondstoffen in grote hoeveelheden in te kopen en te profiteren van schaalvoordelen. </a:t>
          </a:r>
        </a:p>
      </xdr:txBody>
    </xdr:sp>
    <xdr:clientData/>
  </xdr:twoCellAnchor>
</xdr:wsDr>
</file>

<file path=xl/theme/theme1.xml><?xml version="1.0" encoding="utf-8"?>
<a:theme xmlns:a="http://schemas.openxmlformats.org/drawingml/2006/main" xmlns:r="http://schemas.openxmlformats.org/officeDocument/2006/relationships" name="Office Theme">
  <a:themeElements>
    <a:clrScheme name="Office Theme">
      <a:dk1>
        <a:srgbClr val="000000"/>
      </a:dk1>
      <a:lt1>
        <a:srgbClr val="FFFFFF"/>
      </a:lt1>
      <a:dk2>
        <a:srgbClr val="A7A7A7"/>
      </a:dk2>
      <a:lt2>
        <a:srgbClr val="535353"/>
      </a:lt2>
      <a:accent1>
        <a:srgbClr val="5B9BD5"/>
      </a:accent1>
      <a:accent2>
        <a:srgbClr val="ED7D31"/>
      </a:accent2>
      <a:accent3>
        <a:srgbClr val="A5A5A5"/>
      </a:accent3>
      <a:accent4>
        <a:srgbClr val="FFC000"/>
      </a:accent4>
      <a:accent5>
        <a:srgbClr val="4472C4"/>
      </a:accent5>
      <a:accent6>
        <a:srgbClr val="70AD47"/>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45719" tIns="45719" rIns="45719" bIns="45719" numCol="1" spcCol="38100" rtlCol="0" anchor="ctr"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_rels/sheet1.xml.rels><?xml version="1.0" encoding="UTF-8"?>
<Relationships xmlns="http://schemas.openxmlformats.org/package/2006/relationships"><Relationship Id="rId1" Type="http://schemas.openxmlformats.org/officeDocument/2006/relationships/drawing" Target="../drawings/drawing1.xml"/></Relationships>

</file>

<file path=xl/worksheets/_rels/sheet5.xml.rels><?xml version="1.0" encoding="UTF-8"?>
<Relationships xmlns="http://schemas.openxmlformats.org/package/2006/relationships"><Relationship Id="rId1" Type="http://schemas.openxmlformats.org/officeDocument/2006/relationships/drawing" Target="../drawings/drawing2.xml"/></Relationships>

</file>

<file path=xl/worksheets/_rels/sheet6.xml.rels><?xml version="1.0" encoding="UTF-8"?>
<Relationships xmlns="http://schemas.openxmlformats.org/package/2006/relationships"><Relationship Id="rId1" Type="http://schemas.openxmlformats.org/officeDocument/2006/relationships/drawing" Target="../drawings/drawing3.xml"/></Relationships>

</file>

<file path=xl/worksheets/sheet1.xml><?xml version="1.0" encoding="utf-8"?>
<worksheet xmlns:r="http://schemas.openxmlformats.org/officeDocument/2006/relationships" xmlns="http://schemas.openxmlformats.org/spreadsheetml/2006/main">
  <dimension ref="A1:H39"/>
  <sheetViews>
    <sheetView workbookViewId="0" showGridLines="0" defaultGridColor="1"/>
  </sheetViews>
  <sheetFormatPr defaultColWidth="8.83333" defaultRowHeight="14.4" customHeight="1" outlineLevelRow="0" outlineLevelCol="0"/>
  <cols>
    <col min="1" max="1" width="3.17188" style="1" customWidth="1"/>
    <col min="2" max="2" width="47.1719" style="1" customWidth="1"/>
    <col min="3" max="6" width="16.5" style="1" customWidth="1"/>
    <col min="7" max="7" width="4.5" style="1" customWidth="1"/>
    <col min="8" max="8" width="20.5" style="1" customWidth="1"/>
    <col min="9" max="16384" width="8.85156" style="1" customWidth="1"/>
  </cols>
  <sheetData>
    <row r="1" ht="14.4" customHeight="1">
      <c r="A1" s="2"/>
      <c r="B1" s="2"/>
      <c r="C1" s="2"/>
      <c r="D1" s="2"/>
      <c r="E1" s="2"/>
      <c r="F1" s="2"/>
      <c r="G1" s="2"/>
      <c r="H1" s="2"/>
    </row>
    <row r="2" ht="15.6" customHeight="1">
      <c r="A2" s="2"/>
      <c r="B2" t="s" s="3">
        <v>0</v>
      </c>
      <c r="C2" s="2"/>
      <c r="D2" s="2"/>
      <c r="E2" s="2"/>
      <c r="F2" s="2"/>
      <c r="G2" s="2"/>
      <c r="H2" s="2"/>
    </row>
    <row r="3" ht="14.4" customHeight="1">
      <c r="A3" s="2"/>
      <c r="B3" s="2"/>
      <c r="C3" s="2"/>
      <c r="D3" s="2"/>
      <c r="E3" s="2"/>
      <c r="F3" s="2"/>
      <c r="G3" s="2"/>
      <c r="H3" s="2"/>
    </row>
    <row r="4" ht="14.4" customHeight="1">
      <c r="A4" s="2"/>
      <c r="B4" s="2"/>
      <c r="C4" s="2"/>
      <c r="D4" s="2"/>
      <c r="E4" s="2"/>
      <c r="F4" s="2"/>
      <c r="G4" s="2"/>
      <c r="H4" s="2"/>
    </row>
    <row r="5" ht="14.4" customHeight="1">
      <c r="A5" s="4">
        <v>1</v>
      </c>
      <c r="B5" t="s" s="5">
        <v>1</v>
      </c>
      <c r="C5" s="2"/>
      <c r="D5" s="2"/>
      <c r="E5" s="2"/>
      <c r="F5" s="2"/>
      <c r="G5" s="2"/>
      <c r="H5" s="2"/>
    </row>
    <row r="6" ht="14.4" customHeight="1" hidden="1">
      <c r="A6" s="2"/>
      <c r="B6" t="s" s="6">
        <v>2</v>
      </c>
      <c r="C6" s="2"/>
      <c r="D6" s="2"/>
      <c r="E6" s="2"/>
      <c r="F6" s="2"/>
      <c r="G6" s="2"/>
      <c r="H6" s="2"/>
    </row>
    <row r="7" ht="14.4" customHeight="1">
      <c r="A7" s="2"/>
      <c r="B7" s="7"/>
      <c r="C7" s="2"/>
      <c r="D7" s="2"/>
      <c r="E7" s="2"/>
      <c r="F7" s="2"/>
      <c r="G7" s="2"/>
      <c r="H7" s="2"/>
    </row>
    <row r="8" ht="14.4" customHeight="1">
      <c r="A8" s="4">
        <v>2</v>
      </c>
      <c r="B8" t="s" s="5">
        <v>3</v>
      </c>
      <c r="C8" s="2"/>
      <c r="D8" s="2"/>
      <c r="E8" s="2"/>
      <c r="F8" s="2"/>
      <c r="G8" s="2"/>
      <c r="H8" s="2"/>
    </row>
    <row r="9" ht="14.4" customHeight="1">
      <c r="A9" s="2"/>
      <c r="B9" s="2"/>
      <c r="C9" s="2"/>
      <c r="D9" s="2"/>
      <c r="E9" s="2"/>
      <c r="F9" s="2"/>
      <c r="G9" s="2"/>
      <c r="H9" s="2"/>
    </row>
    <row r="10" ht="14.4" customHeight="1">
      <c r="A10" s="4">
        <v>3</v>
      </c>
      <c r="B10" t="s" s="5">
        <v>4</v>
      </c>
      <c r="C10" s="8"/>
      <c r="D10" s="2"/>
      <c r="E10" s="2"/>
      <c r="F10" s="2"/>
      <c r="G10" s="2"/>
      <c r="H10" s="2"/>
    </row>
    <row r="11" ht="14.4" customHeight="1">
      <c r="A11" s="2"/>
      <c r="B11" s="7"/>
      <c r="C11" s="8"/>
      <c r="D11" s="2"/>
      <c r="E11" s="2"/>
      <c r="F11" s="2"/>
      <c r="G11" s="2"/>
      <c r="H11" s="2"/>
    </row>
    <row r="12" ht="14.4" customHeight="1">
      <c r="A12" s="4">
        <v>4</v>
      </c>
      <c r="B12" t="s" s="5">
        <v>5</v>
      </c>
      <c r="C12" s="8"/>
      <c r="D12" s="2"/>
      <c r="E12" s="2"/>
      <c r="F12" s="2"/>
      <c r="G12" s="2"/>
      <c r="H12" s="2"/>
    </row>
    <row r="13" ht="14.4" customHeight="1">
      <c r="A13" s="2"/>
      <c r="B13" s="7"/>
      <c r="C13" s="8"/>
      <c r="D13" s="2"/>
      <c r="E13" s="2"/>
      <c r="F13" s="2"/>
      <c r="G13" s="2"/>
      <c r="H13" s="2"/>
    </row>
    <row r="14" ht="14.4" customHeight="1">
      <c r="A14" s="2"/>
      <c r="B14" s="7"/>
      <c r="C14" s="8"/>
      <c r="D14" s="2"/>
      <c r="E14" s="2"/>
      <c r="F14" s="2"/>
      <c r="G14" s="2"/>
      <c r="H14" s="2"/>
    </row>
    <row r="15" ht="14.4" customHeight="1">
      <c r="A15" s="2"/>
      <c r="B15" s="7"/>
      <c r="C15" s="8"/>
      <c r="D15" s="2"/>
      <c r="E15" s="2"/>
      <c r="F15" s="2"/>
      <c r="G15" s="2"/>
      <c r="H15" s="2"/>
    </row>
    <row r="16" ht="14.4" customHeight="1">
      <c r="A16" s="2"/>
      <c r="B16" s="2"/>
      <c r="C16" s="2"/>
      <c r="D16" s="2"/>
      <c r="E16" s="2"/>
      <c r="F16" s="2"/>
      <c r="G16" s="2"/>
      <c r="H16" s="2"/>
    </row>
    <row r="17" ht="14.4" customHeight="1">
      <c r="A17" s="2"/>
      <c r="B17" s="2"/>
      <c r="C17" s="2"/>
      <c r="D17" s="2"/>
      <c r="E17" s="2"/>
      <c r="F17" s="2"/>
      <c r="G17" s="2"/>
      <c r="H17" s="2"/>
    </row>
    <row r="18" ht="14.4" customHeight="1">
      <c r="A18" s="2"/>
      <c r="B18" s="2"/>
      <c r="C18" s="2"/>
      <c r="D18" s="2"/>
      <c r="E18" s="2"/>
      <c r="F18" s="2"/>
      <c r="G18" s="2"/>
      <c r="H18" s="2"/>
    </row>
    <row r="19" ht="14.4" customHeight="1">
      <c r="A19" s="2"/>
      <c r="B19" s="2"/>
      <c r="C19" s="2"/>
      <c r="D19" s="2"/>
      <c r="E19" s="2"/>
      <c r="F19" s="2"/>
      <c r="G19" s="2"/>
      <c r="H19" s="2"/>
    </row>
    <row r="20" ht="14.4" customHeight="1">
      <c r="A20" s="2"/>
      <c r="B20" s="2"/>
      <c r="C20" s="2"/>
      <c r="D20" s="2"/>
      <c r="E20" s="2"/>
      <c r="F20" s="2"/>
      <c r="G20" s="2"/>
      <c r="H20" s="2"/>
    </row>
    <row r="21" ht="14.4" customHeight="1">
      <c r="A21" s="2"/>
      <c r="B21" s="2"/>
      <c r="C21" s="2"/>
      <c r="D21" s="2"/>
      <c r="E21" s="2"/>
      <c r="F21" s="2"/>
      <c r="G21" s="2"/>
      <c r="H21" s="2"/>
    </row>
    <row r="22" ht="15.6" customHeight="1">
      <c r="A22" s="2"/>
      <c r="B22" s="9"/>
      <c r="C22" s="2"/>
      <c r="D22" s="2"/>
      <c r="E22" s="2"/>
      <c r="F22" s="2"/>
      <c r="G22" s="2"/>
      <c r="H22" s="2"/>
    </row>
    <row r="23" ht="15.6" customHeight="1">
      <c r="A23" s="2"/>
      <c r="B23" s="10"/>
      <c r="C23" s="11"/>
      <c r="D23" s="11"/>
      <c r="E23" s="11"/>
      <c r="F23" s="11"/>
      <c r="G23" s="2"/>
      <c r="H23" s="2"/>
    </row>
    <row r="24" ht="14.4" customHeight="1">
      <c r="A24" s="12"/>
      <c r="B24" s="13"/>
      <c r="C24" s="14"/>
      <c r="D24" s="14"/>
      <c r="E24" s="14"/>
      <c r="F24" s="14"/>
      <c r="G24" s="15"/>
      <c r="H24" s="2"/>
    </row>
    <row r="25" ht="14.4" customHeight="1">
      <c r="A25" s="12"/>
      <c r="B25" s="13"/>
      <c r="C25" s="13"/>
      <c r="D25" s="13"/>
      <c r="E25" s="13"/>
      <c r="F25" s="13"/>
      <c r="G25" s="15"/>
      <c r="H25" s="2"/>
    </row>
    <row r="26" ht="14.4" customHeight="1">
      <c r="A26" s="12"/>
      <c r="B26" s="13"/>
      <c r="C26" s="16"/>
      <c r="D26" s="16"/>
      <c r="E26" s="16"/>
      <c r="F26" s="16"/>
      <c r="G26" s="15"/>
      <c r="H26" s="2"/>
    </row>
    <row r="27" ht="14.4" customHeight="1">
      <c r="A27" s="12"/>
      <c r="B27" s="13"/>
      <c r="C27" s="17"/>
      <c r="D27" s="17"/>
      <c r="E27" s="17"/>
      <c r="F27" s="17"/>
      <c r="G27" s="15"/>
      <c r="H27" s="2"/>
    </row>
    <row r="28" ht="14.4" customHeight="1">
      <c r="A28" s="12"/>
      <c r="B28" s="13"/>
      <c r="C28" s="16"/>
      <c r="D28" s="16"/>
      <c r="E28" s="16"/>
      <c r="F28" s="16"/>
      <c r="G28" s="15"/>
      <c r="H28" s="2"/>
    </row>
    <row r="29" ht="14.4" customHeight="1">
      <c r="A29" s="2"/>
      <c r="B29" s="18"/>
      <c r="C29" s="18"/>
      <c r="D29" s="18"/>
      <c r="E29" s="18"/>
      <c r="F29" s="18"/>
      <c r="G29" s="2"/>
      <c r="H29" s="2"/>
    </row>
    <row r="30" ht="14.4" customHeight="1">
      <c r="A30" s="2"/>
      <c r="B30" s="2"/>
      <c r="C30" s="2"/>
      <c r="D30" s="2"/>
      <c r="E30" s="2"/>
      <c r="F30" s="2"/>
      <c r="G30" s="2"/>
      <c r="H30" s="2"/>
    </row>
    <row r="31" ht="14.4" customHeight="1">
      <c r="A31" s="2"/>
      <c r="B31" s="19"/>
      <c r="C31" s="20"/>
      <c r="D31" s="2"/>
      <c r="E31" s="2"/>
      <c r="F31" s="2"/>
      <c r="G31" s="2"/>
      <c r="H31" s="2"/>
    </row>
    <row r="32" ht="14.4" customHeight="1">
      <c r="A32" s="2"/>
      <c r="B32" s="2"/>
      <c r="C32" s="20"/>
      <c r="D32" s="21"/>
      <c r="E32" s="2"/>
      <c r="F32" s="2"/>
      <c r="G32" s="2"/>
      <c r="H32" s="2"/>
    </row>
    <row r="33" ht="14.4" customHeight="1">
      <c r="A33" s="2"/>
      <c r="B33" s="2"/>
      <c r="C33" s="20"/>
      <c r="D33" s="21"/>
      <c r="E33" s="2"/>
      <c r="F33" s="2"/>
      <c r="G33" s="2"/>
      <c r="H33" s="2"/>
    </row>
    <row r="34" ht="14.4" customHeight="1">
      <c r="A34" s="2"/>
      <c r="B34" s="2"/>
      <c r="C34" s="20"/>
      <c r="D34" s="21"/>
      <c r="E34" s="2"/>
      <c r="F34" s="2"/>
      <c r="G34" s="2"/>
      <c r="H34" s="2"/>
    </row>
    <row r="35" ht="14.4" customHeight="1">
      <c r="A35" s="2"/>
      <c r="B35" s="2"/>
      <c r="C35" s="20"/>
      <c r="D35" s="21"/>
      <c r="E35" s="2"/>
      <c r="F35" s="2"/>
      <c r="G35" s="2"/>
      <c r="H35" s="2"/>
    </row>
    <row r="36" ht="14.4" customHeight="1">
      <c r="A36" s="2"/>
      <c r="B36" s="2"/>
      <c r="C36" s="20"/>
      <c r="D36" s="21"/>
      <c r="E36" s="2"/>
      <c r="F36" s="2"/>
      <c r="G36" s="2"/>
      <c r="H36" s="2"/>
    </row>
    <row r="37" ht="61.2" customHeight="1">
      <c r="A37" s="2"/>
      <c r="B37" s="22"/>
      <c r="C37" s="23"/>
      <c r="D37" s="24"/>
      <c r="E37" s="2"/>
      <c r="F37" s="2"/>
      <c r="G37" s="2"/>
      <c r="H37" s="2"/>
    </row>
    <row r="38" ht="14.4" customHeight="1">
      <c r="A38" s="2"/>
      <c r="B38" s="2"/>
      <c r="C38" s="2"/>
      <c r="D38" s="24"/>
      <c r="E38" s="2"/>
      <c r="F38" s="2"/>
      <c r="G38" s="2"/>
      <c r="H38" s="2"/>
    </row>
    <row r="39" ht="14.4" customHeight="1">
      <c r="A39" s="2"/>
      <c r="B39" s="25"/>
      <c r="C39" s="26"/>
      <c r="D39" s="24"/>
      <c r="E39" s="2"/>
      <c r="F39" s="2"/>
      <c r="G39" s="2"/>
      <c r="H39" s="2"/>
    </row>
  </sheetData>
  <hyperlinks>
    <hyperlink ref="B6" location="'(null)'!R1C1" tooltip="" display="Scale up top line and manager salary assumptions"/>
  </hyperlinks>
  <pageMargins left="0.7" right="0.7" top="0.75" bottom="0.75" header="0.3" footer="0.3"/>
  <pageSetup firstPageNumber="1" fitToHeight="1" fitToWidth="1" scale="100" useFirstPageNumber="0" orientation="portrait" pageOrder="downThenOver"/>
  <headerFooter>
    <oddFooter>&amp;C&amp;"Helvetica Neue,Regular"&amp;12&amp;K000000&amp;P</oddFooter>
  </headerFooter>
  <drawing r:id="rId1"/>
</worksheet>
</file>

<file path=xl/worksheets/sheet2.xml><?xml version="1.0" encoding="utf-8"?>
<worksheet xmlns:r="http://schemas.openxmlformats.org/officeDocument/2006/relationships" xmlns="http://schemas.openxmlformats.org/spreadsheetml/2006/main">
  <dimension ref="A1:S68"/>
  <sheetViews>
    <sheetView workbookViewId="0" showGridLines="0" defaultGridColor="1"/>
  </sheetViews>
  <sheetFormatPr defaultColWidth="8.83333" defaultRowHeight="14.4" customHeight="1" outlineLevelRow="0" outlineLevelCol="0"/>
  <cols>
    <col min="1" max="1" width="1.67188" style="27" customWidth="1"/>
    <col min="2" max="2" width="51.5547" style="27" customWidth="1"/>
    <col min="3" max="14" width="8.85156" style="27" customWidth="1"/>
    <col min="15" max="15" width="8.5" style="27" customWidth="1"/>
    <col min="16" max="16" width="11" style="27" customWidth="1"/>
    <col min="17" max="17" width="7.5" style="27" customWidth="1"/>
    <col min="18" max="18" width="14" style="27" customWidth="1"/>
    <col min="19" max="19" width="42.7891" style="27" customWidth="1"/>
    <col min="20" max="16384" width="8.85156" style="27" customWidth="1"/>
  </cols>
  <sheetData>
    <row r="1" ht="18" customHeight="1">
      <c r="A1" s="28"/>
      <c r="B1" t="s" s="29">
        <v>6</v>
      </c>
      <c r="C1" s="30">
        <v>3156</v>
      </c>
      <c r="D1" s="30">
        <v>192</v>
      </c>
      <c r="E1" s="30">
        <v>382</v>
      </c>
      <c r="F1" s="30">
        <v>3571</v>
      </c>
      <c r="G1" s="30">
        <v>1663</v>
      </c>
      <c r="H1" s="30">
        <v>1860</v>
      </c>
      <c r="I1" s="30">
        <v>5059</v>
      </c>
      <c r="J1" s="30">
        <v>2263</v>
      </c>
      <c r="K1" s="30">
        <v>2473</v>
      </c>
      <c r="L1" s="30">
        <v>6591</v>
      </c>
      <c r="M1" s="30">
        <v>3790</v>
      </c>
      <c r="N1" s="30">
        <v>4069</v>
      </c>
      <c r="O1" s="30">
        <f>SUM(A1:N1)</f>
        <v>35069</v>
      </c>
      <c r="P1" s="31"/>
      <c r="Q1" s="32"/>
      <c r="R1" s="32"/>
      <c r="S1" s="33"/>
    </row>
    <row r="2" ht="18" customHeight="1">
      <c r="A2" s="34"/>
      <c r="B2" t="s" s="35">
        <v>7</v>
      </c>
      <c r="C2" s="36">
        <v>30</v>
      </c>
      <c r="D2" s="36">
        <v>30</v>
      </c>
      <c r="E2" s="36">
        <v>40</v>
      </c>
      <c r="F2" s="36">
        <v>49</v>
      </c>
      <c r="G2" s="36">
        <v>61</v>
      </c>
      <c r="H2" s="36">
        <v>78</v>
      </c>
      <c r="I2" s="36">
        <v>97</v>
      </c>
      <c r="J2" s="36">
        <v>121</v>
      </c>
      <c r="K2" s="36">
        <v>151</v>
      </c>
      <c r="L2" s="36">
        <v>189</v>
      </c>
      <c r="M2" s="36">
        <v>208</v>
      </c>
      <c r="N2" s="36">
        <v>307</v>
      </c>
      <c r="O2" s="36">
        <f>SUM(C2,D2,E2,F2,G2,H2,I2,J2,L2,K2,M2,N2)</f>
        <v>1361</v>
      </c>
      <c r="P2" s="37"/>
      <c r="Q2" s="38"/>
      <c r="R2" s="39"/>
      <c r="S2" s="40"/>
    </row>
    <row r="3" ht="18" customHeight="1">
      <c r="A3" s="34"/>
      <c r="B3" s="41"/>
      <c r="C3" s="41"/>
      <c r="D3" s="41"/>
      <c r="E3" s="41"/>
      <c r="F3" s="41"/>
      <c r="G3" s="41"/>
      <c r="H3" s="41"/>
      <c r="I3" s="41"/>
      <c r="J3" s="41"/>
      <c r="K3" s="41"/>
      <c r="L3" s="41"/>
      <c r="M3" s="41"/>
      <c r="N3" s="41"/>
      <c r="O3" s="41"/>
      <c r="P3" s="41"/>
      <c r="Q3" s="38"/>
      <c r="R3" s="39"/>
      <c r="S3" s="40"/>
    </row>
    <row r="4" ht="24" customHeight="1">
      <c r="A4" s="34"/>
      <c r="B4" t="s" s="42">
        <v>8</v>
      </c>
      <c r="C4" s="43">
        <v>2022</v>
      </c>
      <c r="D4" s="44"/>
      <c r="E4" s="45"/>
      <c r="F4" s="45"/>
      <c r="G4" s="46"/>
      <c r="H4" s="47"/>
      <c r="I4" s="45"/>
      <c r="J4" s="45"/>
      <c r="K4" s="45"/>
      <c r="L4" s="45"/>
      <c r="M4" s="45"/>
      <c r="N4" s="45"/>
      <c r="O4" s="48"/>
      <c r="P4" s="48"/>
      <c r="Q4" t="s" s="49">
        <v>9</v>
      </c>
      <c r="R4" s="39"/>
      <c r="S4" s="40"/>
    </row>
    <row r="5" ht="23.4" customHeight="1">
      <c r="A5" s="34"/>
      <c r="B5" s="50"/>
      <c r="C5" t="s" s="51">
        <v>10</v>
      </c>
      <c r="D5" t="s" s="51">
        <v>11</v>
      </c>
      <c r="E5" t="s" s="51">
        <v>12</v>
      </c>
      <c r="F5" t="s" s="51">
        <v>13</v>
      </c>
      <c r="G5" t="s" s="51">
        <v>14</v>
      </c>
      <c r="H5" t="s" s="51">
        <v>15</v>
      </c>
      <c r="I5" t="s" s="51">
        <v>16</v>
      </c>
      <c r="J5" t="s" s="51">
        <v>17</v>
      </c>
      <c r="K5" t="s" s="51">
        <v>18</v>
      </c>
      <c r="L5" t="s" s="51">
        <v>19</v>
      </c>
      <c r="M5" t="s" s="51">
        <v>20</v>
      </c>
      <c r="N5" t="s" s="52">
        <v>21</v>
      </c>
      <c r="O5" t="s" s="53">
        <v>22</v>
      </c>
      <c r="P5" t="s" s="54">
        <v>23</v>
      </c>
      <c r="Q5" t="s" s="55">
        <v>24</v>
      </c>
      <c r="R5" s="56"/>
      <c r="S5" s="57"/>
    </row>
    <row r="6" ht="18" customHeight="1">
      <c r="A6" s="34"/>
      <c r="B6" t="s" s="58">
        <v>25</v>
      </c>
      <c r="C6" s="59">
        <v>271.33</v>
      </c>
      <c r="D6" s="59">
        <v>271.33</v>
      </c>
      <c r="E6" s="59">
        <v>353.17</v>
      </c>
      <c r="F6" s="59">
        <v>435.9</v>
      </c>
      <c r="G6" s="60">
        <v>544.4400000000001</v>
      </c>
      <c r="H6" s="61">
        <v>686.617</v>
      </c>
      <c r="I6" s="59">
        <v>861.84</v>
      </c>
      <c r="J6" s="59">
        <v>1078.82</v>
      </c>
      <c r="K6" s="59">
        <v>1342.44</v>
      </c>
      <c r="L6" s="59">
        <v>1677.61</v>
      </c>
      <c r="M6" s="59">
        <v>1848</v>
      </c>
      <c r="N6" s="62">
        <v>2732</v>
      </c>
      <c r="O6" s="63">
        <f>SUM(C6:N6)</f>
        <v>12103.497</v>
      </c>
      <c r="P6" s="64"/>
      <c r="Q6" s="65"/>
      <c r="R6" s="56"/>
      <c r="S6" s="57"/>
    </row>
    <row r="7" ht="18" customHeight="1">
      <c r="A7" s="34"/>
      <c r="B7" t="s" s="58">
        <v>26</v>
      </c>
      <c r="C7" s="59">
        <v>504</v>
      </c>
      <c r="D7" s="59">
        <v>1152</v>
      </c>
      <c r="E7" s="59">
        <v>2016</v>
      </c>
      <c r="F7" s="59">
        <v>2088</v>
      </c>
      <c r="G7" s="60">
        <v>2808</v>
      </c>
      <c r="H7" s="61">
        <v>3528</v>
      </c>
      <c r="I7" s="66">
        <v>4248</v>
      </c>
      <c r="J7" s="59">
        <v>4968</v>
      </c>
      <c r="K7" s="66">
        <v>5688</v>
      </c>
      <c r="L7" s="66">
        <v>6408</v>
      </c>
      <c r="M7" s="66">
        <v>7128</v>
      </c>
      <c r="N7" s="62">
        <v>7848</v>
      </c>
      <c r="O7" s="63">
        <f>SUM(C7:N7)</f>
        <v>48384</v>
      </c>
      <c r="P7" s="67"/>
      <c r="Q7" s="65"/>
      <c r="R7" s="56"/>
      <c r="S7" s="57"/>
    </row>
    <row r="8" ht="18" customHeight="1">
      <c r="A8" s="34"/>
      <c r="B8" t="s" s="58">
        <v>27</v>
      </c>
      <c r="C8" s="59">
        <v>0</v>
      </c>
      <c r="D8" s="59">
        <v>0</v>
      </c>
      <c r="E8" s="59">
        <v>0</v>
      </c>
      <c r="F8" s="59">
        <v>0</v>
      </c>
      <c r="G8" s="60">
        <v>3375</v>
      </c>
      <c r="H8" s="68">
        <v>3375</v>
      </c>
      <c r="I8" s="69">
        <v>3375</v>
      </c>
      <c r="J8" s="70">
        <v>3375</v>
      </c>
      <c r="K8" s="69">
        <v>3375</v>
      </c>
      <c r="L8" s="69">
        <v>6750</v>
      </c>
      <c r="M8" s="69">
        <v>6750</v>
      </c>
      <c r="N8" s="71">
        <v>6750</v>
      </c>
      <c r="O8" s="61">
        <f>SUM(C8:N8)</f>
        <v>37125</v>
      </c>
      <c r="P8" s="67"/>
      <c r="Q8" s="65"/>
      <c r="R8" s="56"/>
      <c r="S8" s="57"/>
    </row>
    <row r="9" ht="18" customHeight="1">
      <c r="A9" s="34"/>
      <c r="B9" t="s" s="58">
        <v>28</v>
      </c>
      <c r="C9" s="59">
        <v>12000</v>
      </c>
      <c r="D9" s="59">
        <v>0</v>
      </c>
      <c r="E9" s="59">
        <v>0</v>
      </c>
      <c r="F9" s="59">
        <v>12000</v>
      </c>
      <c r="G9" s="60">
        <v>0</v>
      </c>
      <c r="H9" s="61">
        <v>0</v>
      </c>
      <c r="I9" s="72">
        <v>12000</v>
      </c>
      <c r="J9" s="59">
        <v>0</v>
      </c>
      <c r="K9" s="72">
        <v>0</v>
      </c>
      <c r="L9" s="72">
        <v>12000</v>
      </c>
      <c r="M9" s="72">
        <v>0</v>
      </c>
      <c r="N9" s="62">
        <v>0</v>
      </c>
      <c r="O9" s="63">
        <f>SUM(C9:N9)</f>
        <v>48000</v>
      </c>
      <c r="P9" s="67"/>
      <c r="Q9" t="s" s="55">
        <v>29</v>
      </c>
      <c r="R9" s="56"/>
      <c r="S9" s="57"/>
    </row>
    <row r="10" ht="18" customHeight="1">
      <c r="A10" s="34"/>
      <c r="B10" t="s" s="73">
        <v>28</v>
      </c>
      <c r="C10" s="74">
        <f>C6+C7+C8+C9</f>
        <v>12775.33</v>
      </c>
      <c r="D10" s="74">
        <f>D6+D7+D8+D9</f>
        <v>1423.33</v>
      </c>
      <c r="E10" s="74">
        <f>E6+E7+E8+E9</f>
        <v>2369.17</v>
      </c>
      <c r="F10" s="74">
        <f>F6+F7+F8+F9</f>
        <v>14523.9</v>
      </c>
      <c r="G10" s="75">
        <f>G6+G7+G8+G9</f>
        <v>6727.44</v>
      </c>
      <c r="H10" s="76">
        <f>H6+H7+H8+H9</f>
        <v>7589.617</v>
      </c>
      <c r="I10" s="74">
        <f>I6+I7+I8+I9</f>
        <v>20484.84</v>
      </c>
      <c r="J10" s="74">
        <f>J6+J7+J8+J9</f>
        <v>9421.82</v>
      </c>
      <c r="K10" s="74">
        <f>K6+K7+K8+K9</f>
        <v>10405.44</v>
      </c>
      <c r="L10" s="74">
        <f>L6+L7+L8+L9</f>
        <v>26835.61</v>
      </c>
      <c r="M10" s="74">
        <f>M6+M7+M8+M9</f>
        <v>15726</v>
      </c>
      <c r="N10" s="77">
        <f>N6+N7+N8+N9</f>
        <v>17330</v>
      </c>
      <c r="O10" s="78">
        <f>O6+O7+O8+O9</f>
        <v>145612.497</v>
      </c>
      <c r="P10" s="79"/>
      <c r="Q10" s="65"/>
      <c r="R10" s="56"/>
      <c r="S10" s="57"/>
    </row>
    <row r="11" ht="18" customHeight="1">
      <c r="A11" s="34"/>
      <c r="B11" t="s" s="58">
        <v>30</v>
      </c>
      <c r="C11" s="59">
        <f>0.98*C1</f>
        <v>3092.88</v>
      </c>
      <c r="D11" s="59">
        <f>0.98*D1</f>
        <v>188.16</v>
      </c>
      <c r="E11" s="59">
        <f>0.98*E1</f>
        <v>374.36</v>
      </c>
      <c r="F11" s="59">
        <f>0.98*F1</f>
        <v>3499.58</v>
      </c>
      <c r="G11" s="62">
        <f>0.98*G1</f>
        <v>1629.74</v>
      </c>
      <c r="H11" s="63">
        <f>0.98*H1</f>
        <v>1822.8</v>
      </c>
      <c r="I11" s="59">
        <f>0.98*I1</f>
        <v>4957.82</v>
      </c>
      <c r="J11" s="59">
        <f>0.98*J1</f>
        <v>2217.74</v>
      </c>
      <c r="K11" s="59">
        <f>0.98*K1</f>
        <v>2423.54</v>
      </c>
      <c r="L11" s="59">
        <f>0.98*L1</f>
        <v>6459.18</v>
      </c>
      <c r="M11" s="59">
        <f>0.98*M1</f>
        <v>3714.2</v>
      </c>
      <c r="N11" s="62">
        <f>0.98*N1</f>
        <v>3987.62</v>
      </c>
      <c r="O11" s="63">
        <f>0.98*O1</f>
        <v>34367.62</v>
      </c>
      <c r="P11" s="80">
        <f>O11/$O$10</f>
        <v>0.236021088217449</v>
      </c>
      <c r="Q11" t="s" s="81">
        <v>31</v>
      </c>
      <c r="R11" s="56"/>
      <c r="S11" s="57"/>
    </row>
    <row r="12" ht="18" customHeight="1">
      <c r="A12" s="34"/>
      <c r="B12" t="s" s="58">
        <v>32</v>
      </c>
      <c r="C12" s="59">
        <f>0.056*C1</f>
        <v>176.736</v>
      </c>
      <c r="D12" s="59">
        <f>0.056*D1</f>
        <v>10.752</v>
      </c>
      <c r="E12" s="59">
        <f>0.056*E1</f>
        <v>21.392</v>
      </c>
      <c r="F12" s="59">
        <f>0.056*F1</f>
        <v>199.976</v>
      </c>
      <c r="G12" s="62">
        <f>0.056*G1</f>
        <v>93.128</v>
      </c>
      <c r="H12" s="63">
        <f>0.056*H1</f>
        <v>104.16</v>
      </c>
      <c r="I12" s="59">
        <f>0.056*I1</f>
        <v>283.304</v>
      </c>
      <c r="J12" s="59">
        <f>0.056*J1</f>
        <v>126.728</v>
      </c>
      <c r="K12" s="59">
        <f>0.056*K1</f>
        <v>138.488</v>
      </c>
      <c r="L12" s="59">
        <f>0.056*L1</f>
        <v>369.096</v>
      </c>
      <c r="M12" s="59">
        <f>0.056*M1</f>
        <v>212.24</v>
      </c>
      <c r="N12" s="62">
        <f>0.056*N1</f>
        <v>227.864</v>
      </c>
      <c r="O12" s="63">
        <f>0.056*O1</f>
        <v>1963.864</v>
      </c>
      <c r="P12" s="80">
        <f>O12/$O$10</f>
        <v>0.0134869193267114</v>
      </c>
      <c r="Q12" s="65"/>
      <c r="R12" s="56"/>
      <c r="S12" s="57"/>
    </row>
    <row r="13" ht="18" customHeight="1">
      <c r="A13" s="34"/>
      <c r="B13" t="s" s="58">
        <v>33</v>
      </c>
      <c r="C13" s="59">
        <f>1.18*C2</f>
        <v>35.4</v>
      </c>
      <c r="D13" s="59">
        <f>1.18*D2</f>
        <v>35.4</v>
      </c>
      <c r="E13" s="59">
        <f>1.18*E2</f>
        <v>47.2</v>
      </c>
      <c r="F13" s="59">
        <f>1.18*F2</f>
        <v>57.82</v>
      </c>
      <c r="G13" s="62">
        <f>1.18*G2</f>
        <v>71.98</v>
      </c>
      <c r="H13" s="63">
        <f>1.18*H2</f>
        <v>92.04000000000001</v>
      </c>
      <c r="I13" s="59">
        <f>1.18*I2</f>
        <v>114.46</v>
      </c>
      <c r="J13" s="59">
        <f>1.18*J2</f>
        <v>142.78</v>
      </c>
      <c r="K13" s="59">
        <f>1.18*K2</f>
        <v>178.18</v>
      </c>
      <c r="L13" s="59">
        <f>1.18*L2</f>
        <v>223.02</v>
      </c>
      <c r="M13" s="59">
        <f>1.18*M2</f>
        <v>245.44</v>
      </c>
      <c r="N13" s="62">
        <f>1.18*N2</f>
        <v>362.26</v>
      </c>
      <c r="O13" s="63">
        <f>1.18*O2</f>
        <v>1605.98</v>
      </c>
      <c r="P13" s="80">
        <f>O13/$O$10</f>
        <v>0.0110291357753449</v>
      </c>
      <c r="Q13" s="65"/>
      <c r="R13" s="56"/>
      <c r="S13" s="57"/>
    </row>
    <row r="14" ht="18" customHeight="1">
      <c r="A14" s="34"/>
      <c r="B14" t="s" s="82">
        <v>34</v>
      </c>
      <c r="C14" s="83">
        <f>SUM(C11:C13)</f>
        <v>3305.016</v>
      </c>
      <c r="D14" s="83">
        <f>SUM(D11:D13)</f>
        <v>234.312</v>
      </c>
      <c r="E14" s="83">
        <f>SUM(E11:E13)</f>
        <v>442.952</v>
      </c>
      <c r="F14" s="83">
        <f>SUM(F11:F13)</f>
        <v>3757.376</v>
      </c>
      <c r="G14" s="84">
        <f>SUM(G11:G13)</f>
        <v>1794.848</v>
      </c>
      <c r="H14" s="85">
        <f>SUM(H11:H13)</f>
        <v>2019</v>
      </c>
      <c r="I14" s="83">
        <f>SUM(I11:I13)</f>
        <v>5355.584</v>
      </c>
      <c r="J14" s="83">
        <f>SUM(J11:J13)</f>
        <v>2487.248</v>
      </c>
      <c r="K14" s="83">
        <f>SUM(K11:K13)</f>
        <v>2740.208</v>
      </c>
      <c r="L14" s="83">
        <f>SUM(L11:L13)</f>
        <v>7051.296</v>
      </c>
      <c r="M14" s="83">
        <f>SUM(M11:M13)</f>
        <v>4171.88</v>
      </c>
      <c r="N14" s="84">
        <f>SUM(N11:N13)</f>
        <v>4577.744</v>
      </c>
      <c r="O14" s="85">
        <f>SUM(C14:N14)</f>
        <v>37937.464</v>
      </c>
      <c r="P14" s="86">
        <f>O14/$O$10</f>
        <v>0.260537143319505</v>
      </c>
      <c r="Q14" s="87"/>
      <c r="R14" s="39"/>
      <c r="S14" s="40"/>
    </row>
    <row r="15" ht="18" customHeight="1">
      <c r="A15" s="34"/>
      <c r="B15" t="s" s="58">
        <v>35</v>
      </c>
      <c r="C15" s="59">
        <f>0.02*C6</f>
        <v>5.4266</v>
      </c>
      <c r="D15" s="59">
        <f>0.02*D6</f>
        <v>5.4266</v>
      </c>
      <c r="E15" s="59">
        <f>0.02*E6</f>
        <v>7.0634</v>
      </c>
      <c r="F15" s="59">
        <f>0.02*F6</f>
        <v>8.718</v>
      </c>
      <c r="G15" s="60">
        <f>0.02*G6</f>
        <v>10.8888</v>
      </c>
      <c r="H15" s="61">
        <f>0.02*H6</f>
        <v>13.73234</v>
      </c>
      <c r="I15" s="59">
        <f>0.02*I6</f>
        <v>17.2368</v>
      </c>
      <c r="J15" s="59">
        <f>0.02*J6</f>
        <v>21.5764</v>
      </c>
      <c r="K15" s="59">
        <f>0.02*K6</f>
        <v>26.8488</v>
      </c>
      <c r="L15" s="59">
        <f>0.02*L6</f>
        <v>33.5522</v>
      </c>
      <c r="M15" s="59">
        <f>0.02*M6</f>
        <v>36.96</v>
      </c>
      <c r="N15" s="62">
        <f>0.02*N6</f>
        <v>54.64</v>
      </c>
      <c r="O15" s="63">
        <f>0.02*O6</f>
        <v>242.06994</v>
      </c>
      <c r="P15" s="80"/>
      <c r="Q15" t="s" s="88">
        <v>36</v>
      </c>
      <c r="R15" s="56"/>
      <c r="S15" s="57"/>
    </row>
    <row r="16" ht="18" customHeight="1">
      <c r="A16" s="34"/>
      <c r="B16" t="s" s="58">
        <v>37</v>
      </c>
      <c r="C16" s="59">
        <v>0</v>
      </c>
      <c r="D16" s="59">
        <f>10*7</f>
        <v>70</v>
      </c>
      <c r="E16" s="59">
        <f>10*9</f>
        <v>90</v>
      </c>
      <c r="F16" s="59">
        <f>10*19</f>
        <v>190</v>
      </c>
      <c r="G16" s="60">
        <f>10*29</f>
        <v>290</v>
      </c>
      <c r="H16" s="61">
        <f>10*39</f>
        <v>390</v>
      </c>
      <c r="I16" s="59">
        <f>10*49</f>
        <v>490</v>
      </c>
      <c r="J16" s="59">
        <f>10*59</f>
        <v>590</v>
      </c>
      <c r="K16" s="59">
        <f>10*69</f>
        <v>690</v>
      </c>
      <c r="L16" s="59">
        <f>10*79</f>
        <v>790</v>
      </c>
      <c r="M16" s="59">
        <f>10*89</f>
        <v>890</v>
      </c>
      <c r="N16" s="62">
        <f>10*99</f>
        <v>990</v>
      </c>
      <c r="O16" s="63">
        <f>SUM(C16,D16,E16,F16,G16,H16,J16,I16,K16,L16,M16,N16)</f>
        <v>5470</v>
      </c>
      <c r="P16" s="80"/>
      <c r="Q16" s="65"/>
      <c r="R16" s="56"/>
      <c r="S16" s="57"/>
    </row>
    <row r="17" ht="18" customHeight="1">
      <c r="A17" s="34"/>
      <c r="B17" t="s" s="58">
        <v>38</v>
      </c>
      <c r="C17" s="59">
        <f>75*7</f>
        <v>525</v>
      </c>
      <c r="D17" s="59">
        <f>75*2</f>
        <v>150</v>
      </c>
      <c r="E17" s="59">
        <f t="shared" si="102" ref="E17:N17">75*10</f>
        <v>750</v>
      </c>
      <c r="F17" s="59">
        <f t="shared" si="102"/>
        <v>750</v>
      </c>
      <c r="G17" s="60">
        <f t="shared" si="102"/>
        <v>750</v>
      </c>
      <c r="H17" s="61">
        <f t="shared" si="102"/>
        <v>750</v>
      </c>
      <c r="I17" s="59">
        <f t="shared" si="102"/>
        <v>750</v>
      </c>
      <c r="J17" s="59">
        <f t="shared" si="102"/>
        <v>750</v>
      </c>
      <c r="K17" s="59">
        <f t="shared" si="102"/>
        <v>750</v>
      </c>
      <c r="L17" s="59">
        <f t="shared" si="102"/>
        <v>750</v>
      </c>
      <c r="M17" s="59">
        <f t="shared" si="102"/>
        <v>750</v>
      </c>
      <c r="N17" s="62">
        <f t="shared" si="102"/>
        <v>750</v>
      </c>
      <c r="O17" s="63">
        <f>SUM(C17:N17)</f>
        <v>8175</v>
      </c>
      <c r="P17" s="80">
        <f>O17/$O$10</f>
        <v>0.0561421592818369</v>
      </c>
      <c r="Q17" s="65"/>
      <c r="R17" s="56"/>
      <c r="S17" s="57"/>
    </row>
    <row r="18" ht="18" customHeight="1">
      <c r="A18" s="34"/>
      <c r="B18" t="s" s="58">
        <v>39</v>
      </c>
      <c r="C18" s="59">
        <f>7*10</f>
        <v>70</v>
      </c>
      <c r="D18" s="59">
        <f>2*10</f>
        <v>20</v>
      </c>
      <c r="E18" s="59">
        <f t="shared" si="116" ref="E18:N18">10*10</f>
        <v>100</v>
      </c>
      <c r="F18" s="59">
        <f t="shared" si="116"/>
        <v>100</v>
      </c>
      <c r="G18" s="60">
        <f t="shared" si="116"/>
        <v>100</v>
      </c>
      <c r="H18" s="61">
        <f t="shared" si="116"/>
        <v>100</v>
      </c>
      <c r="I18" s="59">
        <f t="shared" si="116"/>
        <v>100</v>
      </c>
      <c r="J18" s="59">
        <f t="shared" si="116"/>
        <v>100</v>
      </c>
      <c r="K18" s="59">
        <f t="shared" si="116"/>
        <v>100</v>
      </c>
      <c r="L18" s="59">
        <f t="shared" si="116"/>
        <v>100</v>
      </c>
      <c r="M18" s="59">
        <f t="shared" si="116"/>
        <v>100</v>
      </c>
      <c r="N18" s="62">
        <f t="shared" si="116"/>
        <v>100</v>
      </c>
      <c r="O18" s="63">
        <f>SUM(C18:N18)</f>
        <v>1090</v>
      </c>
      <c r="P18" s="80">
        <f>O18/$O$10</f>
        <v>0.00748562123757826</v>
      </c>
      <c r="Q18" t="s" s="89">
        <v>40</v>
      </c>
      <c r="R18" s="56"/>
      <c r="S18" s="57"/>
    </row>
    <row r="19" ht="18" customHeight="1">
      <c r="A19" s="34"/>
      <c r="B19" t="s" s="82">
        <v>41</v>
      </c>
      <c r="C19" s="83">
        <f>SUM(C15,C16,C17,C18)</f>
        <v>600.4266</v>
      </c>
      <c r="D19" s="83">
        <f>SUM(D15,D16,D17,D18)</f>
        <v>245.4266</v>
      </c>
      <c r="E19" s="83">
        <f>SUM(E15,E16,E17,E18)</f>
        <v>947.0634</v>
      </c>
      <c r="F19" s="83">
        <f>SUM(F15,F16,F17,F18)</f>
        <v>1048.718</v>
      </c>
      <c r="G19" s="90">
        <f>SUM(G15,G16,G17,G18)</f>
        <v>1150.8888</v>
      </c>
      <c r="H19" s="91">
        <f>SUM(H15,H16,H17,H18)</f>
        <v>1253.73234</v>
      </c>
      <c r="I19" s="83">
        <f>SUM(I15,I16,I17,I18)</f>
        <v>1357.2368</v>
      </c>
      <c r="J19" s="83">
        <f>SUM(J15,J16,J17,J18)</f>
        <v>1461.5764</v>
      </c>
      <c r="K19" s="83">
        <f>SUM(K15,K16,K17,K18)</f>
        <v>1566.8488</v>
      </c>
      <c r="L19" s="83">
        <f>SUM(L15,L16,L17,L18)</f>
        <v>1673.5522</v>
      </c>
      <c r="M19" s="83">
        <f>SUM(M15,M16,M17,M18)</f>
        <v>1776.96</v>
      </c>
      <c r="N19" s="84">
        <f>SUM(N15,N16,N17,N18)</f>
        <v>1894.64</v>
      </c>
      <c r="O19" s="85">
        <f>SUM(O15,O16,O17,O18)</f>
        <v>14977.06994</v>
      </c>
      <c r="P19" s="86">
        <f>O19/$O$10</f>
        <v>0.10285566313721</v>
      </c>
      <c r="Q19" s="65"/>
      <c r="R19" s="56"/>
      <c r="S19" s="57"/>
    </row>
    <row r="20" ht="18" customHeight="1">
      <c r="A20" s="34"/>
      <c r="B20" s="41"/>
      <c r="C20" s="59"/>
      <c r="D20" s="59"/>
      <c r="E20" s="59"/>
      <c r="F20" s="59"/>
      <c r="G20" s="60"/>
      <c r="H20" s="61"/>
      <c r="I20" s="59"/>
      <c r="J20" s="59"/>
      <c r="K20" s="59"/>
      <c r="L20" s="59"/>
      <c r="M20" s="59"/>
      <c r="N20" s="62"/>
      <c r="O20" s="63"/>
      <c r="P20" s="80"/>
      <c r="Q20" s="65"/>
      <c r="R20" s="56"/>
      <c r="S20" s="57"/>
    </row>
    <row r="21" ht="18" customHeight="1">
      <c r="A21" s="34"/>
      <c r="B21" t="s" s="92">
        <v>42</v>
      </c>
      <c r="C21" s="83">
        <f>C14+C19</f>
        <v>3905.4426</v>
      </c>
      <c r="D21" s="83">
        <f>D14+D19</f>
        <v>479.7386</v>
      </c>
      <c r="E21" s="83">
        <f>E14+E19</f>
        <v>1390.0154</v>
      </c>
      <c r="F21" s="83">
        <f>F14+F19</f>
        <v>4806.094</v>
      </c>
      <c r="G21" s="90">
        <f>G14+G19</f>
        <v>2945.7368</v>
      </c>
      <c r="H21" s="91">
        <f>H14+H19</f>
        <v>3272.73234</v>
      </c>
      <c r="I21" s="83">
        <f>I14+I19</f>
        <v>6712.8208</v>
      </c>
      <c r="J21" s="83">
        <f>J14+J19</f>
        <v>3948.8244</v>
      </c>
      <c r="K21" s="83">
        <f>K14+K19</f>
        <v>4307.0568</v>
      </c>
      <c r="L21" s="83">
        <f>L14+L19</f>
        <v>8724.8482</v>
      </c>
      <c r="M21" s="83">
        <f>M14+M19</f>
        <v>5948.84</v>
      </c>
      <c r="N21" s="84">
        <f>N14+N19</f>
        <v>6472.384</v>
      </c>
      <c r="O21" s="85">
        <f>SUM(C21:N21)</f>
        <v>52914.53394</v>
      </c>
      <c r="P21" s="86">
        <f>O21/$O$10</f>
        <v>0.363392806456715</v>
      </c>
      <c r="Q21" t="s" s="88">
        <v>43</v>
      </c>
      <c r="R21" s="56"/>
      <c r="S21" s="57"/>
    </row>
    <row r="22" ht="18" customHeight="1">
      <c r="A22" s="34"/>
      <c r="B22" s="41"/>
      <c r="C22" s="59"/>
      <c r="D22" s="59"/>
      <c r="E22" s="59"/>
      <c r="F22" s="59"/>
      <c r="G22" s="60"/>
      <c r="H22" s="61"/>
      <c r="I22" s="59"/>
      <c r="J22" s="59"/>
      <c r="K22" s="59"/>
      <c r="L22" s="59"/>
      <c r="M22" s="59"/>
      <c r="N22" s="62"/>
      <c r="O22" s="63"/>
      <c r="P22" s="80"/>
      <c r="Q22" s="65"/>
      <c r="R22" s="56"/>
      <c r="S22" s="57"/>
    </row>
    <row r="23" ht="18" customHeight="1">
      <c r="A23" s="34"/>
      <c r="B23" t="s" s="73">
        <v>44</v>
      </c>
      <c r="C23" s="74">
        <f>C10-C21</f>
        <v>8869.8874</v>
      </c>
      <c r="D23" s="74">
        <f>D10-D21</f>
        <v>943.5914</v>
      </c>
      <c r="E23" s="74">
        <f>E10-E21</f>
        <v>979.1546</v>
      </c>
      <c r="F23" s="74">
        <f>F10-F21</f>
        <v>9717.806</v>
      </c>
      <c r="G23" s="75">
        <f>G10-G21</f>
        <v>3781.7032</v>
      </c>
      <c r="H23" s="76">
        <f>H10-H21</f>
        <v>4316.88466</v>
      </c>
      <c r="I23" s="74">
        <f>I10-I21</f>
        <v>13772.0192</v>
      </c>
      <c r="J23" s="74">
        <f>J10-J21</f>
        <v>5472.9956</v>
      </c>
      <c r="K23" s="74">
        <f>K10-K21</f>
        <v>6098.3832</v>
      </c>
      <c r="L23" s="74">
        <f>L10-L21</f>
        <v>18110.7618</v>
      </c>
      <c r="M23" s="74">
        <f>M10-M21</f>
        <v>9777.16</v>
      </c>
      <c r="N23" s="77">
        <f>N10-N21</f>
        <v>10857.616</v>
      </c>
      <c r="O23" s="78">
        <f>SUM(C23:N23)</f>
        <v>92697.963059999995</v>
      </c>
      <c r="P23" s="93">
        <f>O23/$O$10</f>
        <v>0.636607193543285</v>
      </c>
      <c r="Q23" s="65"/>
      <c r="R23" s="56"/>
      <c r="S23" s="57"/>
    </row>
    <row r="24" ht="18" customHeight="1">
      <c r="A24" s="34"/>
      <c r="B24" s="41"/>
      <c r="C24" s="59"/>
      <c r="D24" s="59"/>
      <c r="E24" s="59"/>
      <c r="F24" s="59"/>
      <c r="G24" s="60"/>
      <c r="H24" s="61"/>
      <c r="I24" s="59"/>
      <c r="J24" s="59"/>
      <c r="K24" s="59"/>
      <c r="L24" s="59"/>
      <c r="M24" s="59"/>
      <c r="N24" s="62"/>
      <c r="O24" s="63"/>
      <c r="P24" s="80"/>
      <c r="Q24" t="s" s="88">
        <v>45</v>
      </c>
      <c r="R24" s="56"/>
      <c r="S24" s="57"/>
    </row>
    <row r="25" ht="18" customHeight="1">
      <c r="A25" s="34"/>
      <c r="B25" t="s" s="58">
        <v>46</v>
      </c>
      <c r="C25" s="59">
        <v>0</v>
      </c>
      <c r="D25" s="59">
        <v>0</v>
      </c>
      <c r="E25" s="59">
        <v>0</v>
      </c>
      <c r="F25" s="59">
        <v>0</v>
      </c>
      <c r="G25" s="60">
        <v>0</v>
      </c>
      <c r="H25" s="61">
        <f t="shared" si="170" ref="H25:N25">3149.76</f>
        <v>3149.76</v>
      </c>
      <c r="I25" s="59">
        <f t="shared" si="170"/>
        <v>3149.76</v>
      </c>
      <c r="J25" s="59">
        <f t="shared" si="170"/>
        <v>3149.76</v>
      </c>
      <c r="K25" s="59">
        <f t="shared" si="170"/>
        <v>3149.76</v>
      </c>
      <c r="L25" s="59">
        <f t="shared" si="170"/>
        <v>3149.76</v>
      </c>
      <c r="M25" s="59">
        <f t="shared" si="170"/>
        <v>3149.76</v>
      </c>
      <c r="N25" s="62">
        <f t="shared" si="170"/>
        <v>3149.76</v>
      </c>
      <c r="O25" s="63">
        <f>SUM(C25:N25)</f>
        <v>22048.32</v>
      </c>
      <c r="P25" s="80">
        <f>O25/$O$10</f>
        <v>0.151417772885249</v>
      </c>
      <c r="Q25" s="65"/>
      <c r="R25" s="56"/>
      <c r="S25" s="57"/>
    </row>
    <row r="26" ht="18" customHeight="1">
      <c r="A26" s="34"/>
      <c r="B26" t="s" s="58">
        <v>47</v>
      </c>
      <c r="C26" s="94">
        <v>0</v>
      </c>
      <c r="D26" s="94">
        <v>0</v>
      </c>
      <c r="E26" s="94">
        <v>0</v>
      </c>
      <c r="F26" s="94">
        <v>0</v>
      </c>
      <c r="G26" s="95">
        <v>0</v>
      </c>
      <c r="H26" s="61">
        <f t="shared" si="179" ref="H26:N26">1746</f>
        <v>1746</v>
      </c>
      <c r="I26" s="59">
        <f t="shared" si="179"/>
        <v>1746</v>
      </c>
      <c r="J26" s="59">
        <f t="shared" si="179"/>
        <v>1746</v>
      </c>
      <c r="K26" s="59">
        <f t="shared" si="179"/>
        <v>1746</v>
      </c>
      <c r="L26" s="59">
        <f t="shared" si="179"/>
        <v>1746</v>
      </c>
      <c r="M26" s="59">
        <f t="shared" si="179"/>
        <v>1746</v>
      </c>
      <c r="N26" s="62">
        <f t="shared" si="179"/>
        <v>1746</v>
      </c>
      <c r="O26" s="63">
        <f>SUM(C26:N26)</f>
        <v>12222</v>
      </c>
      <c r="P26" s="80">
        <f>O26/$O$10</f>
        <v>0.08393510345475361</v>
      </c>
      <c r="Q26" s="65"/>
      <c r="R26" s="56"/>
      <c r="S26" s="57"/>
    </row>
    <row r="27" ht="18" customHeight="1">
      <c r="A27" s="34"/>
      <c r="B27" t="s" s="58">
        <v>48</v>
      </c>
      <c r="C27" s="59">
        <v>108</v>
      </c>
      <c r="D27" s="59">
        <v>108</v>
      </c>
      <c r="E27" s="59">
        <v>108</v>
      </c>
      <c r="F27" s="59">
        <v>108</v>
      </c>
      <c r="G27" s="60">
        <v>108</v>
      </c>
      <c r="H27" s="61">
        <v>108</v>
      </c>
      <c r="I27" s="59">
        <v>108</v>
      </c>
      <c r="J27" s="59">
        <v>108</v>
      </c>
      <c r="K27" s="59">
        <v>108</v>
      </c>
      <c r="L27" s="59">
        <v>108</v>
      </c>
      <c r="M27" s="59">
        <v>108</v>
      </c>
      <c r="N27" s="62">
        <v>108</v>
      </c>
      <c r="O27" s="63">
        <f>SUM(C27:N27)</f>
        <v>1296</v>
      </c>
      <c r="P27" s="80">
        <f>O27/$O$10</f>
        <v>0.00890033497605635</v>
      </c>
      <c r="Q27" t="s" s="88">
        <v>49</v>
      </c>
      <c r="R27" s="56"/>
      <c r="S27" s="57"/>
    </row>
    <row r="28" ht="18" customHeight="1">
      <c r="A28" s="34"/>
      <c r="B28" t="s" s="58">
        <v>50</v>
      </c>
      <c r="C28" s="94">
        <v>0</v>
      </c>
      <c r="D28" s="94">
        <v>0</v>
      </c>
      <c r="E28" s="94">
        <v>0</v>
      </c>
      <c r="F28" s="94">
        <v>0</v>
      </c>
      <c r="G28" s="95">
        <v>0</v>
      </c>
      <c r="H28" s="61">
        <v>1938</v>
      </c>
      <c r="I28" s="59">
        <v>1938</v>
      </c>
      <c r="J28" s="59">
        <v>1938</v>
      </c>
      <c r="K28" s="59">
        <v>1938</v>
      </c>
      <c r="L28" s="59">
        <v>1938</v>
      </c>
      <c r="M28" s="59">
        <v>1938</v>
      </c>
      <c r="N28" s="62">
        <v>1938</v>
      </c>
      <c r="O28" s="63">
        <f>SUM(C28:N28)</f>
        <v>13566</v>
      </c>
      <c r="P28" s="80">
        <f>O28/$O$10</f>
        <v>0.0931650804669602</v>
      </c>
      <c r="Q28" s="65"/>
      <c r="R28" s="56"/>
      <c r="S28" s="57"/>
    </row>
    <row r="29" ht="18" customHeight="1">
      <c r="A29" s="34"/>
      <c r="B29" t="s" s="82">
        <v>51</v>
      </c>
      <c r="C29" s="83">
        <f>SUM(C25:C28)</f>
        <v>108</v>
      </c>
      <c r="D29" s="83">
        <f>SUM(D25:D28)</f>
        <v>108</v>
      </c>
      <c r="E29" s="83">
        <f>SUM(E25:E28)</f>
        <v>108</v>
      </c>
      <c r="F29" s="83">
        <f>SUM(F25:F28)</f>
        <v>108</v>
      </c>
      <c r="G29" s="90">
        <f>SUM(G25:G28)</f>
        <v>108</v>
      </c>
      <c r="H29" s="91">
        <f>SUM(H25:H28)</f>
        <v>6941.76</v>
      </c>
      <c r="I29" s="83">
        <f>SUM(I25:I28)</f>
        <v>6941.76</v>
      </c>
      <c r="J29" s="83">
        <f>SUM(J25:J28)</f>
        <v>6941.76</v>
      </c>
      <c r="K29" s="83">
        <f>SUM(K25:K28)</f>
        <v>6941.76</v>
      </c>
      <c r="L29" s="83">
        <f>SUM(L25:L28)</f>
        <v>6941.76</v>
      </c>
      <c r="M29" s="83">
        <f>SUM(M25:M28)</f>
        <v>6941.76</v>
      </c>
      <c r="N29" s="84">
        <f>SUM(N25:N28)</f>
        <v>6941.76</v>
      </c>
      <c r="O29" s="85">
        <f>SUM(C29:N29)</f>
        <v>49132.32</v>
      </c>
      <c r="P29" s="86">
        <f>O29/$O$10</f>
        <v>0.337418291783019</v>
      </c>
      <c r="Q29" s="65"/>
      <c r="R29" s="56"/>
      <c r="S29" s="57"/>
    </row>
    <row r="30" ht="18" customHeight="1">
      <c r="A30" s="34"/>
      <c r="B30" t="s" s="58">
        <v>52</v>
      </c>
      <c r="C30" s="59">
        <v>750</v>
      </c>
      <c r="D30" s="59">
        <v>750</v>
      </c>
      <c r="E30" s="59">
        <v>750</v>
      </c>
      <c r="F30" s="59">
        <v>750</v>
      </c>
      <c r="G30" s="60">
        <v>1000</v>
      </c>
      <c r="H30" s="61">
        <v>1000</v>
      </c>
      <c r="I30" s="59">
        <v>1000</v>
      </c>
      <c r="J30" s="59">
        <v>1000</v>
      </c>
      <c r="K30" s="59">
        <v>1500</v>
      </c>
      <c r="L30" s="59">
        <v>1500</v>
      </c>
      <c r="M30" s="59">
        <v>1500</v>
      </c>
      <c r="N30" s="62">
        <v>1500</v>
      </c>
      <c r="O30" s="63">
        <f>C30+D30+E30+F30+G30+H30+I30+J30+K30+L30+M30+N30</f>
        <v>13000</v>
      </c>
      <c r="P30" s="80"/>
      <c r="Q30" t="s" s="88">
        <v>53</v>
      </c>
      <c r="R30" s="56"/>
      <c r="S30" s="57"/>
    </row>
    <row r="31" ht="18" customHeight="1">
      <c r="A31" s="34"/>
      <c r="B31" t="s" s="58">
        <v>54</v>
      </c>
      <c r="C31" s="59">
        <v>200</v>
      </c>
      <c r="D31" s="59">
        <v>200</v>
      </c>
      <c r="E31" s="59">
        <v>200</v>
      </c>
      <c r="F31" s="59">
        <v>200</v>
      </c>
      <c r="G31" s="60">
        <v>200</v>
      </c>
      <c r="H31" s="61">
        <v>300</v>
      </c>
      <c r="I31" s="59">
        <v>300</v>
      </c>
      <c r="J31" s="59">
        <v>300</v>
      </c>
      <c r="K31" s="59">
        <v>300</v>
      </c>
      <c r="L31" s="59">
        <v>500</v>
      </c>
      <c r="M31" s="59">
        <v>500</v>
      </c>
      <c r="N31" s="62">
        <v>500</v>
      </c>
      <c r="O31" s="63">
        <f>SUM(C31:N31)</f>
        <v>3700</v>
      </c>
      <c r="P31" s="80">
        <f>O31/$O$10</f>
        <v>0.0254099069532473</v>
      </c>
      <c r="Q31" s="65"/>
      <c r="R31" s="56"/>
      <c r="S31" s="57"/>
    </row>
    <row r="32" ht="18" customHeight="1">
      <c r="A32" s="34"/>
      <c r="B32" t="s" s="58">
        <v>55</v>
      </c>
      <c r="C32" s="59">
        <f t="shared" si="209" ref="C32:N32">399</f>
        <v>399</v>
      </c>
      <c r="D32" s="59">
        <f t="shared" si="209"/>
        <v>399</v>
      </c>
      <c r="E32" s="59">
        <f t="shared" si="209"/>
        <v>399</v>
      </c>
      <c r="F32" s="59">
        <f t="shared" si="209"/>
        <v>399</v>
      </c>
      <c r="G32" s="60">
        <f t="shared" si="209"/>
        <v>399</v>
      </c>
      <c r="H32" s="61">
        <f t="shared" si="209"/>
        <v>399</v>
      </c>
      <c r="I32" s="59">
        <f t="shared" si="209"/>
        <v>399</v>
      </c>
      <c r="J32" s="59">
        <f t="shared" si="209"/>
        <v>399</v>
      </c>
      <c r="K32" s="59">
        <f t="shared" si="209"/>
        <v>399</v>
      </c>
      <c r="L32" s="59">
        <f t="shared" si="209"/>
        <v>399</v>
      </c>
      <c r="M32" s="59">
        <f t="shared" si="209"/>
        <v>399</v>
      </c>
      <c r="N32" s="62">
        <f t="shared" si="209"/>
        <v>399</v>
      </c>
      <c r="O32" s="63">
        <f>SUM(C32:N32)</f>
        <v>4788</v>
      </c>
      <c r="P32" s="80">
        <f>O32/$O$10</f>
        <v>0.032881793105986</v>
      </c>
      <c r="Q32" s="65"/>
      <c r="R32" s="56"/>
      <c r="S32" s="57"/>
    </row>
    <row r="33" ht="18" customHeight="1">
      <c r="A33" s="34"/>
      <c r="B33" t="s" s="58">
        <v>56</v>
      </c>
      <c r="C33" s="59">
        <v>0</v>
      </c>
      <c r="D33" s="59">
        <v>0</v>
      </c>
      <c r="E33" s="59">
        <v>0</v>
      </c>
      <c r="F33" s="59">
        <v>0</v>
      </c>
      <c r="G33" s="60">
        <v>0</v>
      </c>
      <c r="H33" s="61">
        <v>0</v>
      </c>
      <c r="I33" s="59">
        <v>0</v>
      </c>
      <c r="J33" s="59">
        <v>0</v>
      </c>
      <c r="K33" s="59">
        <v>0</v>
      </c>
      <c r="L33" s="59">
        <v>0</v>
      </c>
      <c r="M33" s="59">
        <v>0</v>
      </c>
      <c r="N33" s="62">
        <v>3500</v>
      </c>
      <c r="O33" s="63">
        <f>SUM(C33:N33)</f>
        <v>3500</v>
      </c>
      <c r="P33" s="80">
        <f>O33/$O$10</f>
        <v>0.024036398469288</v>
      </c>
      <c r="Q33" t="s" s="88">
        <v>57</v>
      </c>
      <c r="R33" s="56"/>
      <c r="S33" s="57"/>
    </row>
    <row r="34" ht="18" customHeight="1">
      <c r="A34" s="34"/>
      <c r="B34" t="s" s="58">
        <v>58</v>
      </c>
      <c r="C34" s="59">
        <v>0</v>
      </c>
      <c r="D34" s="59">
        <v>0</v>
      </c>
      <c r="E34" s="59">
        <v>0</v>
      </c>
      <c r="F34" s="59">
        <v>750</v>
      </c>
      <c r="G34" s="60">
        <v>0</v>
      </c>
      <c r="H34" s="61">
        <v>0</v>
      </c>
      <c r="I34" s="59">
        <v>750</v>
      </c>
      <c r="J34" s="59">
        <v>0</v>
      </c>
      <c r="K34" s="59">
        <v>0</v>
      </c>
      <c r="L34" s="59">
        <v>750</v>
      </c>
      <c r="M34" s="59">
        <v>0</v>
      </c>
      <c r="N34" s="62">
        <v>0</v>
      </c>
      <c r="O34" s="63">
        <f>SUM(C34:N34)</f>
        <v>2250</v>
      </c>
      <c r="P34" s="80">
        <f>O34/$O$10</f>
        <v>0.0154519704445423</v>
      </c>
      <c r="Q34" s="65"/>
      <c r="R34" s="56"/>
      <c r="S34" s="57"/>
    </row>
    <row r="35" ht="18" customHeight="1">
      <c r="A35" s="34"/>
      <c r="B35" t="s" s="58">
        <v>59</v>
      </c>
      <c r="C35" s="59">
        <v>100</v>
      </c>
      <c r="D35" s="59">
        <v>100</v>
      </c>
      <c r="E35" s="59">
        <v>100</v>
      </c>
      <c r="F35" s="59">
        <v>100</v>
      </c>
      <c r="G35" s="60">
        <v>100</v>
      </c>
      <c r="H35" s="61">
        <v>100</v>
      </c>
      <c r="I35" s="59">
        <v>100</v>
      </c>
      <c r="J35" s="59">
        <v>100</v>
      </c>
      <c r="K35" s="59">
        <v>100</v>
      </c>
      <c r="L35" s="59">
        <v>100</v>
      </c>
      <c r="M35" s="59">
        <v>100</v>
      </c>
      <c r="N35" s="62">
        <v>100</v>
      </c>
      <c r="O35" s="63">
        <f>SUM(C35:N35)</f>
        <v>1200</v>
      </c>
      <c r="P35" s="80">
        <f>O35/$O$10</f>
        <v>0.008241050903755881</v>
      </c>
      <c r="Q35" s="65"/>
      <c r="R35" s="56"/>
      <c r="S35" s="57"/>
    </row>
    <row r="36" ht="18" customHeight="1">
      <c r="A36" s="34"/>
      <c r="B36" t="s" s="58">
        <v>60</v>
      </c>
      <c r="C36" s="59">
        <v>160</v>
      </c>
      <c r="D36" s="59">
        <v>160</v>
      </c>
      <c r="E36" s="59">
        <v>160</v>
      </c>
      <c r="F36" s="59">
        <v>160</v>
      </c>
      <c r="G36" s="60">
        <v>160</v>
      </c>
      <c r="H36" s="61">
        <v>160</v>
      </c>
      <c r="I36" s="59">
        <v>160</v>
      </c>
      <c r="J36" s="59">
        <v>160</v>
      </c>
      <c r="K36" s="59">
        <v>160</v>
      </c>
      <c r="L36" s="59">
        <v>160</v>
      </c>
      <c r="M36" s="59">
        <v>160</v>
      </c>
      <c r="N36" s="62">
        <v>160</v>
      </c>
      <c r="O36" s="63">
        <f>SUM(C36:N36)</f>
        <v>1920</v>
      </c>
      <c r="P36" s="80">
        <f>O36/$O$10</f>
        <v>0.0131856814460094</v>
      </c>
      <c r="Q36" t="s" s="88">
        <v>61</v>
      </c>
      <c r="R36" s="56"/>
      <c r="S36" s="57"/>
    </row>
    <row r="37" ht="18" customHeight="1">
      <c r="A37" s="34"/>
      <c r="B37" t="s" s="82">
        <v>62</v>
      </c>
      <c r="C37" s="83">
        <f>SUM(C30:C36)</f>
        <v>1609</v>
      </c>
      <c r="D37" s="83">
        <f>SUM(D30:D36)</f>
        <v>1609</v>
      </c>
      <c r="E37" s="83">
        <f>SUM(E30:E36)</f>
        <v>1609</v>
      </c>
      <c r="F37" s="83">
        <f>SUM(F30:F36)</f>
        <v>2359</v>
      </c>
      <c r="G37" s="90">
        <f>SUM(G30:G36)</f>
        <v>1859</v>
      </c>
      <c r="H37" s="91">
        <f>SUM(H30:H36)</f>
        <v>1959</v>
      </c>
      <c r="I37" s="83">
        <f>SUM(I30:I36)</f>
        <v>2709</v>
      </c>
      <c r="J37" s="83">
        <f>SUM(J30:J36)</f>
        <v>1959</v>
      </c>
      <c r="K37" s="83">
        <f>SUM(K30:K36)</f>
        <v>2459</v>
      </c>
      <c r="L37" s="83">
        <f>SUM(L30:L36)</f>
        <v>3409</v>
      </c>
      <c r="M37" s="83">
        <f>SUM(M30:M36)</f>
        <v>2659</v>
      </c>
      <c r="N37" s="84">
        <f>SUM(N30:N36)</f>
        <v>6159</v>
      </c>
      <c r="O37" s="85">
        <f>SUM(C37:N37)</f>
        <v>30358</v>
      </c>
      <c r="P37" s="86">
        <f>O37/$O$10</f>
        <v>0.208484852780184</v>
      </c>
      <c r="Q37" s="65"/>
      <c r="R37" s="56"/>
      <c r="S37" s="57"/>
    </row>
    <row r="38" ht="18" customHeight="1">
      <c r="A38" s="34"/>
      <c r="B38" s="41"/>
      <c r="C38" s="59"/>
      <c r="D38" s="59"/>
      <c r="E38" s="59"/>
      <c r="F38" s="59"/>
      <c r="G38" s="60"/>
      <c r="H38" s="61"/>
      <c r="I38" s="59"/>
      <c r="J38" s="59"/>
      <c r="K38" s="59"/>
      <c r="L38" s="59"/>
      <c r="M38" s="59"/>
      <c r="N38" s="62"/>
      <c r="O38" s="63"/>
      <c r="P38" s="80"/>
      <c r="Q38" s="65"/>
      <c r="R38" s="56"/>
      <c r="S38" s="57"/>
    </row>
    <row r="39" ht="18" customHeight="1">
      <c r="A39" s="34"/>
      <c r="B39" t="s" s="96">
        <v>63</v>
      </c>
      <c r="C39" s="59">
        <f t="shared" si="245" ref="C39:N39">250</f>
        <v>250</v>
      </c>
      <c r="D39" s="59">
        <f t="shared" si="245"/>
        <v>250</v>
      </c>
      <c r="E39" s="59">
        <f t="shared" si="245"/>
        <v>250</v>
      </c>
      <c r="F39" s="59">
        <f t="shared" si="245"/>
        <v>250</v>
      </c>
      <c r="G39" s="60">
        <f t="shared" si="245"/>
        <v>250</v>
      </c>
      <c r="H39" s="61">
        <f t="shared" si="245"/>
        <v>250</v>
      </c>
      <c r="I39" s="59">
        <f t="shared" si="245"/>
        <v>250</v>
      </c>
      <c r="J39" s="59">
        <f t="shared" si="245"/>
        <v>250</v>
      </c>
      <c r="K39" s="59">
        <f t="shared" si="245"/>
        <v>250</v>
      </c>
      <c r="L39" s="59">
        <f t="shared" si="245"/>
        <v>250</v>
      </c>
      <c r="M39" s="59">
        <f t="shared" si="245"/>
        <v>250</v>
      </c>
      <c r="N39" s="62">
        <f t="shared" si="245"/>
        <v>250</v>
      </c>
      <c r="O39" s="63">
        <f>SUM(C39:N39)</f>
        <v>3000</v>
      </c>
      <c r="P39" s="80">
        <f>O39/$O$10</f>
        <v>0.0206026272593897</v>
      </c>
      <c r="Q39" t="s" s="88">
        <v>64</v>
      </c>
      <c r="R39" s="56"/>
      <c r="S39" s="57"/>
    </row>
    <row r="40" ht="18" customHeight="1">
      <c r="A40" s="34"/>
      <c r="B40" t="s" s="96">
        <v>65</v>
      </c>
      <c r="C40" s="59">
        <f t="shared" si="259" ref="C40:N40">150</f>
        <v>150</v>
      </c>
      <c r="D40" s="59">
        <f t="shared" si="259"/>
        <v>150</v>
      </c>
      <c r="E40" s="59">
        <f t="shared" si="259"/>
        <v>150</v>
      </c>
      <c r="F40" s="59">
        <f t="shared" si="259"/>
        <v>150</v>
      </c>
      <c r="G40" s="60">
        <f t="shared" si="259"/>
        <v>150</v>
      </c>
      <c r="H40" s="61">
        <f t="shared" si="259"/>
        <v>150</v>
      </c>
      <c r="I40" s="59">
        <f t="shared" si="259"/>
        <v>150</v>
      </c>
      <c r="J40" s="59">
        <f t="shared" si="259"/>
        <v>150</v>
      </c>
      <c r="K40" s="59">
        <f t="shared" si="259"/>
        <v>150</v>
      </c>
      <c r="L40" s="59">
        <f t="shared" si="259"/>
        <v>150</v>
      </c>
      <c r="M40" s="59">
        <f t="shared" si="259"/>
        <v>150</v>
      </c>
      <c r="N40" s="62">
        <f t="shared" si="259"/>
        <v>150</v>
      </c>
      <c r="O40" s="63">
        <f>SUM(C40:N40)</f>
        <v>1800</v>
      </c>
      <c r="P40" s="80">
        <f>O40/$O$10</f>
        <v>0.0123615763556338</v>
      </c>
      <c r="Q40" s="65"/>
      <c r="R40" s="56"/>
      <c r="S40" s="57"/>
    </row>
    <row r="41" ht="18" customHeight="1">
      <c r="A41" s="34"/>
      <c r="B41" t="s" s="58">
        <v>66</v>
      </c>
      <c r="C41" s="59">
        <v>250</v>
      </c>
      <c r="D41" s="59">
        <v>250</v>
      </c>
      <c r="E41" s="59">
        <v>250</v>
      </c>
      <c r="F41" s="59">
        <v>250</v>
      </c>
      <c r="G41" s="60">
        <v>250</v>
      </c>
      <c r="H41" s="61">
        <v>250</v>
      </c>
      <c r="I41" s="59">
        <v>250</v>
      </c>
      <c r="J41" s="59">
        <v>250</v>
      </c>
      <c r="K41" s="59">
        <v>250</v>
      </c>
      <c r="L41" s="59">
        <v>250</v>
      </c>
      <c r="M41" s="59">
        <v>250</v>
      </c>
      <c r="N41" s="62">
        <v>250</v>
      </c>
      <c r="O41" s="63">
        <f>SUM(C41:N41)</f>
        <v>3000</v>
      </c>
      <c r="P41" s="80">
        <f>O41/$O$10</f>
        <v>0.0206026272593897</v>
      </c>
      <c r="Q41" s="65"/>
      <c r="R41" s="56"/>
      <c r="S41" s="57"/>
    </row>
    <row r="42" ht="18" customHeight="1">
      <c r="A42" s="34"/>
      <c r="B42" t="s" s="58">
        <v>67</v>
      </c>
      <c r="C42" s="59">
        <v>150</v>
      </c>
      <c r="D42" s="59">
        <v>150</v>
      </c>
      <c r="E42" s="59">
        <v>150</v>
      </c>
      <c r="F42" s="59">
        <v>150</v>
      </c>
      <c r="G42" s="60">
        <v>150</v>
      </c>
      <c r="H42" s="61">
        <v>150</v>
      </c>
      <c r="I42" s="59">
        <v>150</v>
      </c>
      <c r="J42" s="59">
        <v>150</v>
      </c>
      <c r="K42" s="59">
        <v>150</v>
      </c>
      <c r="L42" s="59">
        <v>150</v>
      </c>
      <c r="M42" s="59">
        <v>150</v>
      </c>
      <c r="N42" s="62">
        <v>150</v>
      </c>
      <c r="O42" s="63">
        <f>SUM(C42:N42)</f>
        <v>1800</v>
      </c>
      <c r="P42" s="80">
        <f>O42/$O$10</f>
        <v>0.0123615763556338</v>
      </c>
      <c r="Q42" t="s" s="88">
        <v>68</v>
      </c>
      <c r="R42" s="56"/>
      <c r="S42" s="57"/>
    </row>
    <row r="43" ht="18" customHeight="1">
      <c r="A43" s="34"/>
      <c r="B43" t="s" s="58">
        <v>69</v>
      </c>
      <c r="C43" s="59">
        <v>50</v>
      </c>
      <c r="D43" s="59">
        <v>50</v>
      </c>
      <c r="E43" s="59">
        <v>50</v>
      </c>
      <c r="F43" s="59">
        <v>50</v>
      </c>
      <c r="G43" s="60">
        <v>50</v>
      </c>
      <c r="H43" s="61">
        <v>50</v>
      </c>
      <c r="I43" s="59">
        <v>50</v>
      </c>
      <c r="J43" s="59">
        <v>50</v>
      </c>
      <c r="K43" s="59">
        <v>50</v>
      </c>
      <c r="L43" s="59">
        <v>50</v>
      </c>
      <c r="M43" s="59">
        <v>50</v>
      </c>
      <c r="N43" s="62">
        <v>50</v>
      </c>
      <c r="O43" s="63">
        <f>SUM(C43:N43)</f>
        <v>600</v>
      </c>
      <c r="P43" s="80">
        <f>O43/$O$10</f>
        <v>0.00412052545187794</v>
      </c>
      <c r="Q43" s="65"/>
      <c r="R43" s="56"/>
      <c r="S43" s="57"/>
    </row>
    <row r="44" ht="18" customHeight="1">
      <c r="A44" s="34"/>
      <c r="B44" t="s" s="58">
        <v>70</v>
      </c>
      <c r="C44" s="59">
        <v>59</v>
      </c>
      <c r="D44" s="59">
        <v>59</v>
      </c>
      <c r="E44" s="59">
        <v>59</v>
      </c>
      <c r="F44" s="59">
        <v>59</v>
      </c>
      <c r="G44" s="60">
        <v>59</v>
      </c>
      <c r="H44" s="61">
        <v>59</v>
      </c>
      <c r="I44" s="59">
        <v>59</v>
      </c>
      <c r="J44" s="59">
        <v>59</v>
      </c>
      <c r="K44" s="59">
        <v>59</v>
      </c>
      <c r="L44" s="59">
        <v>59</v>
      </c>
      <c r="M44" s="59">
        <v>59</v>
      </c>
      <c r="N44" s="62">
        <v>59</v>
      </c>
      <c r="O44" s="63">
        <f>SUM(C44:N44)</f>
        <v>708</v>
      </c>
      <c r="P44" s="80">
        <f>O44/$O$10</f>
        <v>0.00486222003321597</v>
      </c>
      <c r="Q44" s="65"/>
      <c r="R44" s="56"/>
      <c r="S44" s="57"/>
    </row>
    <row r="45" ht="18" customHeight="1">
      <c r="A45" s="34"/>
      <c r="B45" t="s" s="82">
        <v>71</v>
      </c>
      <c r="C45" s="83">
        <f>SUM(C38:C44)</f>
        <v>909</v>
      </c>
      <c r="D45" s="83">
        <f>SUM(D38:D44)</f>
        <v>909</v>
      </c>
      <c r="E45" s="83">
        <f>SUM(E38:E44)</f>
        <v>909</v>
      </c>
      <c r="F45" s="83">
        <f>SUM(F38:F44)</f>
        <v>909</v>
      </c>
      <c r="G45" s="90">
        <f>SUM(G38:G44)</f>
        <v>909</v>
      </c>
      <c r="H45" s="91">
        <f>SUM(H38:H44)</f>
        <v>909</v>
      </c>
      <c r="I45" s="83">
        <f>SUM(I38:I44)</f>
        <v>909</v>
      </c>
      <c r="J45" s="83">
        <f>SUM(J38:J44)</f>
        <v>909</v>
      </c>
      <c r="K45" s="83">
        <f>SUM(K38:K44)</f>
        <v>909</v>
      </c>
      <c r="L45" s="83">
        <f>SUM(L38:L44)</f>
        <v>909</v>
      </c>
      <c r="M45" s="83">
        <f>SUM(M38:M44)</f>
        <v>909</v>
      </c>
      <c r="N45" s="84">
        <f>SUM(N38:N44)</f>
        <v>909</v>
      </c>
      <c r="O45" s="85">
        <f>SUM(C45:N45)</f>
        <v>10908</v>
      </c>
      <c r="P45" s="86">
        <f>O45/$O$10</f>
        <v>0.0749111527151409</v>
      </c>
      <c r="Q45" s="87"/>
      <c r="R45" s="39"/>
      <c r="S45" s="40"/>
    </row>
    <row r="46" ht="18" customHeight="1">
      <c r="A46" s="34"/>
      <c r="B46" s="41"/>
      <c r="C46" s="59"/>
      <c r="D46" s="59"/>
      <c r="E46" s="59"/>
      <c r="F46" s="59"/>
      <c r="G46" s="60"/>
      <c r="H46" s="61"/>
      <c r="I46" s="59"/>
      <c r="J46" s="59"/>
      <c r="K46" s="59"/>
      <c r="L46" s="59"/>
      <c r="M46" s="59"/>
      <c r="N46" s="62"/>
      <c r="O46" s="63"/>
      <c r="P46" s="80"/>
      <c r="Q46" s="87"/>
      <c r="R46" s="39"/>
      <c r="S46" s="40"/>
    </row>
    <row r="47" ht="18" customHeight="1">
      <c r="A47" s="97"/>
      <c r="B47" t="s" s="92">
        <v>72</v>
      </c>
      <c r="C47" s="98">
        <f>SUM(C29+C37+C45)</f>
        <v>2626</v>
      </c>
      <c r="D47" s="98">
        <f>SUM(D29+D37+D45)</f>
        <v>2626</v>
      </c>
      <c r="E47" s="98">
        <f>SUM(E29+E37+E45)</f>
        <v>2626</v>
      </c>
      <c r="F47" s="98">
        <f>SUM(F29+F37+F45)</f>
        <v>3376</v>
      </c>
      <c r="G47" s="99">
        <f>SUM(G29+G37+G45)</f>
        <v>2876</v>
      </c>
      <c r="H47" s="100">
        <f>SUM(H29+H37+H45)</f>
        <v>9809.76</v>
      </c>
      <c r="I47" s="98">
        <f>SUM(I29+I37+I45)</f>
        <v>10559.76</v>
      </c>
      <c r="J47" s="98">
        <f>SUM(J29+J37+J45)</f>
        <v>9809.76</v>
      </c>
      <c r="K47" s="98">
        <f>SUM(K29+K37+K45)</f>
        <v>10309.76</v>
      </c>
      <c r="L47" s="98">
        <f>SUM(L29+L37+L45)</f>
        <v>11259.76</v>
      </c>
      <c r="M47" s="98">
        <f>SUM(M29+M37+M45)</f>
        <v>10509.76</v>
      </c>
      <c r="N47" s="101">
        <f>SUM(N29+N37+N45)</f>
        <v>14009.76</v>
      </c>
      <c r="O47" s="102">
        <f>SUM(C47:N47)</f>
        <v>90398.320000000007</v>
      </c>
      <c r="P47" s="86">
        <f>O47/$O$10</f>
        <v>0.620814297278344</v>
      </c>
      <c r="Q47" s="103"/>
      <c r="R47" s="38"/>
      <c r="S47" s="104"/>
    </row>
    <row r="48" ht="9" customHeight="1" hidden="1">
      <c r="A48" s="105"/>
      <c r="B48" s="2"/>
      <c r="C48" s="106"/>
      <c r="D48" s="106"/>
      <c r="E48" s="106"/>
      <c r="F48" s="106"/>
      <c r="G48" s="107"/>
      <c r="H48" s="108"/>
      <c r="I48" s="106"/>
      <c r="J48" s="106"/>
      <c r="K48" s="106"/>
      <c r="L48" s="106"/>
      <c r="M48" s="106"/>
      <c r="N48" s="109"/>
      <c r="O48" s="110"/>
      <c r="P48" s="111"/>
      <c r="Q48" s="65"/>
      <c r="R48" s="56"/>
      <c r="S48" s="57"/>
    </row>
    <row r="49" ht="9" customHeight="1" hidden="1">
      <c r="A49" s="105"/>
      <c r="B49" t="s" s="112">
        <v>73</v>
      </c>
      <c r="C49" s="113"/>
      <c r="D49" s="113"/>
      <c r="E49" s="113"/>
      <c r="F49" s="113"/>
      <c r="G49" s="114"/>
      <c r="H49" s="115"/>
      <c r="I49" s="113"/>
      <c r="J49" s="113"/>
      <c r="K49" s="113"/>
      <c r="L49" s="113"/>
      <c r="M49" s="113"/>
      <c r="N49" s="116"/>
      <c r="O49" s="117">
        <f>SUM(C49:N49)</f>
        <v>0</v>
      </c>
      <c r="P49" s="118">
        <f>O49/$O$10</f>
        <v>0</v>
      </c>
      <c r="Q49" s="65"/>
      <c r="R49" s="56"/>
      <c r="S49" s="57"/>
    </row>
    <row r="50" ht="18" customHeight="1">
      <c r="A50" s="34"/>
      <c r="B50" s="41"/>
      <c r="C50" s="59"/>
      <c r="D50" s="59"/>
      <c r="E50" s="59"/>
      <c r="F50" s="59"/>
      <c r="G50" s="60"/>
      <c r="H50" s="61"/>
      <c r="I50" s="59"/>
      <c r="J50" s="59"/>
      <c r="K50" s="59"/>
      <c r="L50" s="59"/>
      <c r="M50" s="59"/>
      <c r="N50" s="62"/>
      <c r="O50" s="63"/>
      <c r="P50" s="80"/>
      <c r="Q50" s="87"/>
      <c r="R50" s="39"/>
      <c r="S50" s="40"/>
    </row>
    <row r="51" ht="18" customHeight="1">
      <c r="A51" s="97"/>
      <c r="B51" t="s" s="73">
        <v>74</v>
      </c>
      <c r="C51" s="74">
        <f>C23-C47</f>
        <v>6243.8874</v>
      </c>
      <c r="D51" s="74">
        <f>D23-D47</f>
        <v>-1682.4086</v>
      </c>
      <c r="E51" s="74">
        <f>E23-E47</f>
        <v>-1646.8454</v>
      </c>
      <c r="F51" s="74">
        <f>F23-F47</f>
        <v>6341.806</v>
      </c>
      <c r="G51" s="75">
        <f>G23-G47</f>
        <v>905.7032</v>
      </c>
      <c r="H51" s="76">
        <f>H23-H47</f>
        <v>-5492.87534</v>
      </c>
      <c r="I51" s="74">
        <f>I23-I47</f>
        <v>3212.2592</v>
      </c>
      <c r="J51" s="74">
        <f>J23-J47</f>
        <v>-4336.7644</v>
      </c>
      <c r="K51" s="74">
        <f>K23-K47</f>
        <v>-4211.3768</v>
      </c>
      <c r="L51" s="74">
        <f>L23-L47</f>
        <v>6851.0018</v>
      </c>
      <c r="M51" s="74">
        <f>M23-M47</f>
        <v>-732.6</v>
      </c>
      <c r="N51" s="77">
        <f>N23-N47</f>
        <v>-3152.144</v>
      </c>
      <c r="O51" s="78">
        <f>O23-O47</f>
        <v>2299.64306</v>
      </c>
      <c r="P51" s="93">
        <f>O51/$O$10</f>
        <v>0.0157928962649408</v>
      </c>
      <c r="Q51" s="103"/>
      <c r="R51" s="119"/>
      <c r="S51" s="104"/>
    </row>
    <row r="52" ht="18" customHeight="1">
      <c r="A52" s="34"/>
      <c r="B52" s="41"/>
      <c r="C52" s="59"/>
      <c r="D52" s="59"/>
      <c r="E52" s="59"/>
      <c r="F52" s="59"/>
      <c r="G52" s="60"/>
      <c r="H52" s="61"/>
      <c r="I52" s="59"/>
      <c r="J52" s="59"/>
      <c r="K52" s="59"/>
      <c r="L52" s="59"/>
      <c r="M52" s="59"/>
      <c r="N52" s="62"/>
      <c r="O52" s="63"/>
      <c r="P52" s="80"/>
      <c r="Q52" s="87"/>
      <c r="R52" s="39"/>
      <c r="S52" s="40"/>
    </row>
    <row r="53" ht="18" customHeight="1">
      <c r="A53" s="34"/>
      <c r="B53" t="s" s="58">
        <v>75</v>
      </c>
      <c r="C53" s="59">
        <f t="shared" si="325" ref="C53:N53">27000/48</f>
        <v>562.5</v>
      </c>
      <c r="D53" s="59">
        <f t="shared" si="325"/>
        <v>562.5</v>
      </c>
      <c r="E53" s="59">
        <f t="shared" si="325"/>
        <v>562.5</v>
      </c>
      <c r="F53" s="59">
        <f t="shared" si="325"/>
        <v>562.5</v>
      </c>
      <c r="G53" s="60">
        <f t="shared" si="325"/>
        <v>562.5</v>
      </c>
      <c r="H53" s="61">
        <f t="shared" si="325"/>
        <v>562.5</v>
      </c>
      <c r="I53" s="59">
        <f t="shared" si="325"/>
        <v>562.5</v>
      </c>
      <c r="J53" s="59">
        <f t="shared" si="325"/>
        <v>562.5</v>
      </c>
      <c r="K53" s="59">
        <f t="shared" si="325"/>
        <v>562.5</v>
      </c>
      <c r="L53" s="59">
        <f t="shared" si="325"/>
        <v>562.5</v>
      </c>
      <c r="M53" s="59">
        <f t="shared" si="325"/>
        <v>562.5</v>
      </c>
      <c r="N53" s="62">
        <f t="shared" si="325"/>
        <v>562.5</v>
      </c>
      <c r="O53" s="63">
        <f>SUM(C53:N53)</f>
        <v>6750</v>
      </c>
      <c r="P53" s="80">
        <f>O53/$O$10</f>
        <v>0.0463559113336268</v>
      </c>
      <c r="Q53" s="87"/>
      <c r="R53" s="39"/>
      <c r="S53" s="40"/>
    </row>
    <row r="54" ht="18" customHeight="1">
      <c r="A54" s="34"/>
      <c r="B54" t="s" s="82">
        <v>76</v>
      </c>
      <c r="C54" s="83">
        <f>SUM(C52:C53)</f>
        <v>562.5</v>
      </c>
      <c r="D54" s="83">
        <f>SUM(D52:D53)</f>
        <v>562.5</v>
      </c>
      <c r="E54" s="83">
        <f>SUM(E52:E53)</f>
        <v>562.5</v>
      </c>
      <c r="F54" s="83">
        <f>SUM(F52:F53)</f>
        <v>562.5</v>
      </c>
      <c r="G54" s="90">
        <f>SUM(G52:G53)</f>
        <v>562.5</v>
      </c>
      <c r="H54" s="91">
        <f>SUM(H52:H53)</f>
        <v>562.5</v>
      </c>
      <c r="I54" s="83">
        <f>SUM(I52:I53)</f>
        <v>562.5</v>
      </c>
      <c r="J54" s="83">
        <f>SUM(J52:J53)</f>
        <v>562.5</v>
      </c>
      <c r="K54" s="83">
        <f>SUM(K52:K53)</f>
        <v>562.5</v>
      </c>
      <c r="L54" s="83">
        <f>SUM(L52:L53)</f>
        <v>562.5</v>
      </c>
      <c r="M54" s="83">
        <f>SUM(M52:M53)</f>
        <v>562.5</v>
      </c>
      <c r="N54" s="84">
        <f>SUM(N52:N53)</f>
        <v>562.5</v>
      </c>
      <c r="O54" s="85">
        <f>SUM(C54:N54)</f>
        <v>6750</v>
      </c>
      <c r="P54" s="86">
        <f>O54/$O$10</f>
        <v>0.0463559113336268</v>
      </c>
      <c r="Q54" s="87"/>
      <c r="R54" s="39"/>
      <c r="S54" s="40"/>
    </row>
    <row r="55" ht="18" customHeight="1">
      <c r="A55" s="34"/>
      <c r="B55" s="41"/>
      <c r="C55" s="59"/>
      <c r="D55" s="59"/>
      <c r="E55" s="59"/>
      <c r="F55" s="59"/>
      <c r="G55" s="60"/>
      <c r="H55" s="61"/>
      <c r="I55" s="120"/>
      <c r="J55" s="59"/>
      <c r="K55" s="59"/>
      <c r="L55" s="59"/>
      <c r="M55" s="59"/>
      <c r="N55" s="62"/>
      <c r="O55" s="63"/>
      <c r="P55" s="80"/>
      <c r="Q55" s="87"/>
      <c r="R55" s="39"/>
      <c r="S55" s="40"/>
    </row>
    <row r="56" ht="18" customHeight="1">
      <c r="A56" s="34"/>
      <c r="B56" t="s" s="121">
        <v>77</v>
      </c>
      <c r="C56" s="122">
        <f>C51-C54</f>
        <v>5681.3874</v>
      </c>
      <c r="D56" s="122">
        <f>D51-D54</f>
        <v>-2244.9086</v>
      </c>
      <c r="E56" s="122">
        <f>E51-E54</f>
        <v>-2209.3454</v>
      </c>
      <c r="F56" s="122">
        <f>F51-F54</f>
        <v>5779.306</v>
      </c>
      <c r="G56" s="123">
        <f>G51-G54</f>
        <v>343.2032</v>
      </c>
      <c r="H56" s="124">
        <f>H51-H54</f>
        <v>-6055.37534</v>
      </c>
      <c r="I56" s="122">
        <f>I51-I54</f>
        <v>2649.7592</v>
      </c>
      <c r="J56" s="122">
        <f>J51-J54</f>
        <v>-4899.2644</v>
      </c>
      <c r="K56" s="122">
        <f>K51-K54</f>
        <v>-4773.8768</v>
      </c>
      <c r="L56" s="122">
        <f>L51-L54</f>
        <v>6288.5018</v>
      </c>
      <c r="M56" s="122">
        <f>M51-M54</f>
        <v>-1295.1</v>
      </c>
      <c r="N56" s="125">
        <f>N51-N54</f>
        <v>-3714.644</v>
      </c>
      <c r="O56" s="126">
        <f>SUM(C56:N56)</f>
        <v>-4450.35694</v>
      </c>
      <c r="P56" s="127">
        <f>O56/$O$10</f>
        <v>-0.030563015068686</v>
      </c>
      <c r="Q56" s="87"/>
      <c r="R56" s="39"/>
      <c r="S56" s="40"/>
    </row>
    <row r="57" ht="18" customHeight="1">
      <c r="A57" s="34"/>
      <c r="B57" s="41"/>
      <c r="C57" s="59"/>
      <c r="D57" s="59"/>
      <c r="E57" s="59"/>
      <c r="F57" s="59"/>
      <c r="G57" s="60"/>
      <c r="H57" s="61"/>
      <c r="I57" s="120"/>
      <c r="J57" s="59"/>
      <c r="K57" s="59"/>
      <c r="L57" s="59"/>
      <c r="M57" s="59"/>
      <c r="N57" s="62"/>
      <c r="O57" s="63"/>
      <c r="P57" s="80"/>
      <c r="Q57" s="87"/>
      <c r="R57" s="39"/>
      <c r="S57" s="40"/>
    </row>
    <row r="58" ht="18" customHeight="1">
      <c r="A58" s="34"/>
      <c r="B58" t="s" s="82">
        <v>78</v>
      </c>
      <c r="C58" s="83"/>
      <c r="D58" s="83"/>
      <c r="E58" s="83"/>
      <c r="F58" s="83"/>
      <c r="G58" s="90"/>
      <c r="H58" s="91"/>
      <c r="I58" s="128"/>
      <c r="J58" s="83"/>
      <c r="K58" s="83"/>
      <c r="L58" s="83"/>
      <c r="M58" s="83"/>
      <c r="N58" s="84"/>
      <c r="O58" s="85">
        <f>SUM(C58:N58)</f>
        <v>0</v>
      </c>
      <c r="P58" s="86">
        <f>O58/$O$10</f>
        <v>0</v>
      </c>
      <c r="Q58" s="87"/>
      <c r="R58" s="39"/>
      <c r="S58" s="40"/>
    </row>
    <row r="59" ht="18" customHeight="1">
      <c r="A59" s="34"/>
      <c r="B59" s="41"/>
      <c r="C59" s="59"/>
      <c r="D59" s="59"/>
      <c r="E59" s="59"/>
      <c r="F59" s="59"/>
      <c r="G59" s="60"/>
      <c r="H59" s="61"/>
      <c r="I59" s="120"/>
      <c r="J59" s="59"/>
      <c r="K59" s="59"/>
      <c r="L59" s="59"/>
      <c r="M59" s="59"/>
      <c r="N59" s="62"/>
      <c r="O59" s="63"/>
      <c r="P59" s="80"/>
      <c r="Q59" s="87"/>
      <c r="R59" s="39"/>
      <c r="S59" s="40"/>
    </row>
    <row r="60" ht="18" customHeight="1">
      <c r="A60" s="34"/>
      <c r="B60" t="s" s="121">
        <v>79</v>
      </c>
      <c r="C60" s="122">
        <f>C56-C58</f>
        <v>5681.3874</v>
      </c>
      <c r="D60" s="122">
        <f>D56-D58</f>
        <v>-2244.9086</v>
      </c>
      <c r="E60" s="122">
        <f>E56-E58</f>
        <v>-2209.3454</v>
      </c>
      <c r="F60" s="122">
        <f>F56-F58</f>
        <v>5779.306</v>
      </c>
      <c r="G60" s="123">
        <f>G56-G58</f>
        <v>343.2032</v>
      </c>
      <c r="H60" s="124">
        <f>H56-H58</f>
        <v>-6055.37534</v>
      </c>
      <c r="I60" s="122">
        <f>I56-I58</f>
        <v>2649.7592</v>
      </c>
      <c r="J60" s="122">
        <f>J56-J58</f>
        <v>-4899.2644</v>
      </c>
      <c r="K60" s="122">
        <f>K56-K58</f>
        <v>-4773.8768</v>
      </c>
      <c r="L60" s="122">
        <f>L56-L58</f>
        <v>6288.5018</v>
      </c>
      <c r="M60" s="122">
        <f>M56-M58</f>
        <v>-1295.1</v>
      </c>
      <c r="N60" s="125">
        <f>N56-N58</f>
        <v>-3714.644</v>
      </c>
      <c r="O60" s="126">
        <f>SUM(C60:N60)</f>
        <v>-4450.35694</v>
      </c>
      <c r="P60" s="127">
        <f>O60/$O$10</f>
        <v>-0.030563015068686</v>
      </c>
      <c r="Q60" s="87"/>
      <c r="R60" s="39"/>
      <c r="S60" s="40"/>
    </row>
    <row r="61" ht="18" customHeight="1">
      <c r="A61" s="34"/>
      <c r="B61" s="41"/>
      <c r="C61" s="59"/>
      <c r="D61" s="59"/>
      <c r="E61" s="59"/>
      <c r="F61" s="59"/>
      <c r="G61" s="60"/>
      <c r="H61" s="61"/>
      <c r="I61" s="59"/>
      <c r="J61" s="59"/>
      <c r="K61" s="59"/>
      <c r="L61" s="59"/>
      <c r="M61" s="59"/>
      <c r="N61" s="62"/>
      <c r="O61" s="63"/>
      <c r="P61" s="80"/>
      <c r="Q61" s="87"/>
      <c r="R61" s="39"/>
      <c r="S61" s="40"/>
    </row>
    <row r="62" ht="18" customHeight="1">
      <c r="A62" s="34"/>
      <c r="B62" t="s" s="82">
        <v>80</v>
      </c>
      <c r="C62" s="83"/>
      <c r="D62" s="83"/>
      <c r="E62" s="83"/>
      <c r="F62" s="83"/>
      <c r="G62" s="90"/>
      <c r="H62" s="91"/>
      <c r="I62" s="83"/>
      <c r="J62" s="83"/>
      <c r="K62" s="83"/>
      <c r="L62" s="83"/>
      <c r="M62" s="83"/>
      <c r="N62" s="84"/>
      <c r="O62" s="85">
        <f>SUM(C62:N62)</f>
        <v>0</v>
      </c>
      <c r="P62" s="86">
        <f>O62/$O$10</f>
        <v>0</v>
      </c>
      <c r="Q62" s="129"/>
      <c r="R62" s="39"/>
      <c r="S62" s="40"/>
    </row>
    <row r="63" ht="18" customHeight="1">
      <c r="A63" s="34"/>
      <c r="B63" s="41"/>
      <c r="C63" s="59"/>
      <c r="D63" s="59"/>
      <c r="E63" s="59"/>
      <c r="F63" s="59"/>
      <c r="G63" s="60"/>
      <c r="H63" s="61"/>
      <c r="I63" s="59"/>
      <c r="J63" s="59"/>
      <c r="K63" s="59"/>
      <c r="L63" s="59"/>
      <c r="M63" s="59"/>
      <c r="N63" s="62"/>
      <c r="O63" s="63"/>
      <c r="P63" s="80"/>
      <c r="Q63" s="87"/>
      <c r="R63" s="39"/>
      <c r="S63" s="40"/>
    </row>
    <row r="64" ht="15" customHeight="1">
      <c r="A64" s="34"/>
      <c r="B64" t="s" s="73">
        <v>81</v>
      </c>
      <c r="C64" s="122">
        <f>C60-C62</f>
        <v>5681.3874</v>
      </c>
      <c r="D64" s="122">
        <f>D60-D62</f>
        <v>-2244.9086</v>
      </c>
      <c r="E64" s="122">
        <f>E60-E62</f>
        <v>-2209.3454</v>
      </c>
      <c r="F64" s="122">
        <f>F60-F62</f>
        <v>5779.306</v>
      </c>
      <c r="G64" s="123">
        <f>G60-G62</f>
        <v>343.2032</v>
      </c>
      <c r="H64" s="124">
        <f>H60-H62</f>
        <v>-6055.37534</v>
      </c>
      <c r="I64" s="122">
        <f>I60-I62</f>
        <v>2649.7592</v>
      </c>
      <c r="J64" s="122">
        <f>J60-J62</f>
        <v>-4899.2644</v>
      </c>
      <c r="K64" s="122">
        <f>K60-K62</f>
        <v>-4773.8768</v>
      </c>
      <c r="L64" s="122">
        <f>L60-L62</f>
        <v>6288.5018</v>
      </c>
      <c r="M64" s="122">
        <f>M60-M62</f>
        <v>-1295.1</v>
      </c>
      <c r="N64" s="125">
        <f>N60-N62</f>
        <v>-3714.644</v>
      </c>
      <c r="O64" s="130">
        <f>SUM(C64:N64)</f>
        <v>-4450.35694</v>
      </c>
      <c r="P64" s="131">
        <f>O64/$O$10</f>
        <v>-0.030563015068686</v>
      </c>
      <c r="Q64" s="87"/>
      <c r="R64" s="39"/>
      <c r="S64" s="40"/>
    </row>
    <row r="65" ht="18.5" customHeight="1">
      <c r="A65" s="34"/>
      <c r="B65" s="41"/>
      <c r="C65" s="59"/>
      <c r="D65" s="59"/>
      <c r="E65" s="59"/>
      <c r="F65" s="59"/>
      <c r="G65" s="59"/>
      <c r="H65" s="59"/>
      <c r="I65" s="59"/>
      <c r="J65" s="59"/>
      <c r="K65" s="59"/>
      <c r="L65" s="59"/>
      <c r="M65" s="59"/>
      <c r="N65" s="59"/>
      <c r="O65" s="132"/>
      <c r="P65" s="132"/>
      <c r="Q65" s="39"/>
      <c r="R65" s="39"/>
      <c r="S65" s="40"/>
    </row>
    <row r="66" ht="18" customHeight="1">
      <c r="A66" s="34"/>
      <c r="B66" s="41"/>
      <c r="C66" s="59"/>
      <c r="D66" s="59"/>
      <c r="E66" s="59"/>
      <c r="F66" s="59"/>
      <c r="G66" s="59"/>
      <c r="H66" s="59"/>
      <c r="I66" s="59"/>
      <c r="J66" s="59"/>
      <c r="K66" s="59"/>
      <c r="L66" s="59"/>
      <c r="M66" s="59"/>
      <c r="N66" s="59"/>
      <c r="O66" s="41"/>
      <c r="P66" s="41"/>
      <c r="Q66" s="39"/>
      <c r="R66" s="39"/>
      <c r="S66" s="40"/>
    </row>
    <row r="67" ht="18" customHeight="1">
      <c r="A67" s="34"/>
      <c r="B67" s="41"/>
      <c r="C67" s="59"/>
      <c r="D67" s="59"/>
      <c r="E67" s="59"/>
      <c r="F67" s="59"/>
      <c r="G67" s="59"/>
      <c r="H67" s="59"/>
      <c r="I67" s="59"/>
      <c r="J67" s="59"/>
      <c r="K67" s="59"/>
      <c r="L67" s="59"/>
      <c r="M67" s="59"/>
      <c r="N67" s="59"/>
      <c r="O67" s="41"/>
      <c r="P67" s="41"/>
      <c r="Q67" s="39"/>
      <c r="R67" s="39"/>
      <c r="S67" s="40"/>
    </row>
    <row r="68" ht="18" customHeight="1">
      <c r="A68" s="133"/>
      <c r="B68" s="134"/>
      <c r="C68" s="135"/>
      <c r="D68" s="135"/>
      <c r="E68" s="135"/>
      <c r="F68" s="135"/>
      <c r="G68" s="135"/>
      <c r="H68" s="135"/>
      <c r="I68" s="135"/>
      <c r="J68" s="135"/>
      <c r="K68" s="135"/>
      <c r="L68" s="135"/>
      <c r="M68" s="135"/>
      <c r="N68" s="135"/>
      <c r="O68" s="134"/>
      <c r="P68" s="134"/>
      <c r="Q68" s="136"/>
      <c r="R68" s="136"/>
      <c r="S68" s="137"/>
    </row>
  </sheetData>
  <mergeCells count="13">
    <mergeCell ref="Q5:S8"/>
    <mergeCell ref="Q9:S10"/>
    <mergeCell ref="Q11:S13"/>
    <mergeCell ref="Q18:S20"/>
    <mergeCell ref="Q15:S17"/>
    <mergeCell ref="Q21:S23"/>
    <mergeCell ref="Q24:S26"/>
    <mergeCell ref="Q27:S29"/>
    <mergeCell ref="Q30:S32"/>
    <mergeCell ref="Q33:S35"/>
    <mergeCell ref="Q36:S38"/>
    <mergeCell ref="Q39:S41"/>
    <mergeCell ref="Q42:S44"/>
  </mergeCells>
  <pageMargins left="0.7" right="0.7" top="0.75" bottom="0.75" header="0.3" footer="0.3"/>
  <pageSetup firstPageNumber="1" fitToHeight="1" fitToWidth="1" scale="100" useFirstPageNumber="0" orientation="portrait" pageOrder="downThenOver"/>
  <headerFooter>
    <oddFooter>&amp;C&amp;"Helvetica Neue,Regular"&amp;12&amp;K000000&amp;P</oddFooter>
  </headerFooter>
</worksheet>
</file>

<file path=xl/worksheets/sheet3.xml><?xml version="1.0" encoding="utf-8"?>
<worksheet xmlns:r="http://schemas.openxmlformats.org/officeDocument/2006/relationships" xmlns="http://schemas.openxmlformats.org/spreadsheetml/2006/main">
  <dimension ref="A1:P67"/>
  <sheetViews>
    <sheetView workbookViewId="0" showGridLines="0" defaultGridColor="1"/>
  </sheetViews>
  <sheetFormatPr defaultColWidth="8.83333" defaultRowHeight="15.4" customHeight="1" outlineLevelRow="0" outlineLevelCol="0"/>
  <cols>
    <col min="1" max="1" width="1.67188" style="138" customWidth="1"/>
    <col min="2" max="2" width="43.6719" style="138" customWidth="1"/>
    <col min="3" max="14" width="8.85156" style="138" customWidth="1"/>
    <col min="15" max="15" width="8.5" style="138" customWidth="1"/>
    <col min="16" max="16" width="11" style="138" customWidth="1"/>
    <col min="17" max="16384" width="8.85156" style="138" customWidth="1"/>
  </cols>
  <sheetData>
    <row r="1" ht="18" customHeight="1">
      <c r="A1" s="28"/>
      <c r="B1" t="s" s="29">
        <v>6</v>
      </c>
      <c r="C1" s="139">
        <v>4069</v>
      </c>
      <c r="D1" s="139">
        <f>C1*1.06</f>
        <v>4313.14</v>
      </c>
      <c r="E1" s="139">
        <f>D1*1.06</f>
        <v>4571.9284</v>
      </c>
      <c r="F1" s="139">
        <f>E1*1.06</f>
        <v>4846.244104</v>
      </c>
      <c r="G1" s="139">
        <f>F1*1.06</f>
        <v>5137.01875024</v>
      </c>
      <c r="H1" s="139">
        <f>G1*1.06</f>
        <v>5445.2398752544</v>
      </c>
      <c r="I1" s="139">
        <f>H1*1.06</f>
        <v>5771.954267769660</v>
      </c>
      <c r="J1" s="139">
        <f>I1*1.06</f>
        <v>6118.271523835840</v>
      </c>
      <c r="K1" s="139">
        <f>J1*1.06</f>
        <v>6485.367815265990</v>
      </c>
      <c r="L1" s="139">
        <f>K1*1.06</f>
        <v>6874.489884181950</v>
      </c>
      <c r="M1" s="139">
        <f>L1*1.06</f>
        <v>7286.959277232870</v>
      </c>
      <c r="N1" s="139">
        <f>M1*1.06</f>
        <v>7724.176833866840</v>
      </c>
      <c r="O1" s="139">
        <f>SUM(A1:N1)</f>
        <v>68643.7907316476</v>
      </c>
      <c r="P1" s="140"/>
    </row>
    <row r="2" ht="18" customHeight="1">
      <c r="A2" s="34"/>
      <c r="B2" t="s" s="35">
        <v>7</v>
      </c>
      <c r="C2" s="141">
        <v>307</v>
      </c>
      <c r="D2" s="141">
        <f>C2*1.08</f>
        <v>331.56</v>
      </c>
      <c r="E2" s="141">
        <f>D2*1.08</f>
        <v>358.0848</v>
      </c>
      <c r="F2" s="141">
        <f>E2*1.08</f>
        <v>386.731584</v>
      </c>
      <c r="G2" s="141">
        <f>F2*1.08</f>
        <v>417.67011072</v>
      </c>
      <c r="H2" s="141">
        <f>G2*1.08</f>
        <v>451.0837195776</v>
      </c>
      <c r="I2" s="141">
        <f>H2*1.08</f>
        <v>487.170417143808</v>
      </c>
      <c r="J2" s="141">
        <f>I2*1.08</f>
        <v>526.144050515313</v>
      </c>
      <c r="K2" s="141">
        <f>J2*1.08</f>
        <v>568.235574556538</v>
      </c>
      <c r="L2" s="141">
        <f>K2*1.08</f>
        <v>613.694420521061</v>
      </c>
      <c r="M2" s="141">
        <f>L2*1.08</f>
        <v>662.789974162746</v>
      </c>
      <c r="N2" s="141">
        <f>M2*1.08</f>
        <v>715.813172095766</v>
      </c>
      <c r="O2" s="141">
        <f>SUM(C2,D2,E2,F2,G2,H2,I2,J2,L2,K2,M2,N2)</f>
        <v>5825.977823292830</v>
      </c>
      <c r="P2" s="142"/>
    </row>
    <row r="3" ht="18" customHeight="1">
      <c r="A3" s="34"/>
      <c r="B3" s="41"/>
      <c r="C3" s="41"/>
      <c r="D3" s="41"/>
      <c r="E3" s="41"/>
      <c r="F3" s="41"/>
      <c r="G3" s="41"/>
      <c r="H3" s="41"/>
      <c r="I3" s="41"/>
      <c r="J3" s="41"/>
      <c r="K3" s="41"/>
      <c r="L3" s="41"/>
      <c r="M3" s="41"/>
      <c r="N3" s="41"/>
      <c r="O3" s="41"/>
      <c r="P3" s="40"/>
    </row>
    <row r="4" ht="24" customHeight="1">
      <c r="A4" s="34"/>
      <c r="B4" t="s" s="42">
        <v>8</v>
      </c>
      <c r="C4" s="43">
        <v>2023</v>
      </c>
      <c r="D4" s="44"/>
      <c r="E4" s="45"/>
      <c r="F4" s="45"/>
      <c r="G4" s="46"/>
      <c r="H4" s="143"/>
      <c r="I4" s="45"/>
      <c r="J4" s="45"/>
      <c r="K4" s="45"/>
      <c r="L4" s="45"/>
      <c r="M4" s="45"/>
      <c r="N4" s="45"/>
      <c r="O4" s="48"/>
      <c r="P4" s="144"/>
    </row>
    <row r="5" ht="23.4" customHeight="1">
      <c r="A5" s="34"/>
      <c r="B5" s="50"/>
      <c r="C5" t="s" s="51">
        <v>82</v>
      </c>
      <c r="D5" t="s" s="51">
        <v>83</v>
      </c>
      <c r="E5" t="s" s="51">
        <v>84</v>
      </c>
      <c r="F5" t="s" s="51">
        <v>85</v>
      </c>
      <c r="G5" t="s" s="145">
        <v>86</v>
      </c>
      <c r="H5" t="s" s="146">
        <v>87</v>
      </c>
      <c r="I5" t="s" s="51">
        <v>88</v>
      </c>
      <c r="J5" t="s" s="51">
        <v>89</v>
      </c>
      <c r="K5" t="s" s="51">
        <v>90</v>
      </c>
      <c r="L5" t="s" s="51">
        <v>91</v>
      </c>
      <c r="M5" t="s" s="51">
        <v>92</v>
      </c>
      <c r="N5" t="s" s="52">
        <v>93</v>
      </c>
      <c r="O5" t="s" s="53">
        <v>22</v>
      </c>
      <c r="P5" t="s" s="54">
        <v>23</v>
      </c>
    </row>
    <row r="6" ht="18" customHeight="1">
      <c r="A6" s="34"/>
      <c r="B6" t="s" s="58">
        <v>25</v>
      </c>
      <c r="C6" s="62">
        <v>2732</v>
      </c>
      <c r="D6" s="63">
        <f>C6*1.08</f>
        <v>2950.56</v>
      </c>
      <c r="E6" s="59">
        <f>D6*1.08</f>
        <v>3186.6048</v>
      </c>
      <c r="F6" s="59">
        <f>E6*1.08</f>
        <v>3441.533184</v>
      </c>
      <c r="G6" s="60">
        <f>F6*1.08</f>
        <v>3716.85583872</v>
      </c>
      <c r="H6" s="61">
        <f>G6*1.08</f>
        <v>4014.2043058176</v>
      </c>
      <c r="I6" s="59">
        <f>H6*1.08</f>
        <v>4335.340650283010</v>
      </c>
      <c r="J6" s="59">
        <f>I6*1.08</f>
        <v>4682.167902305650</v>
      </c>
      <c r="K6" s="59">
        <f>J6*1.08</f>
        <v>5056.7413344901</v>
      </c>
      <c r="L6" s="59">
        <f>K6*1.08</f>
        <v>5461.280641249310</v>
      </c>
      <c r="M6" s="59">
        <f>L6*1.08</f>
        <v>5898.183092549250</v>
      </c>
      <c r="N6" s="62">
        <f>M6*1.08</f>
        <v>6370.037739953190</v>
      </c>
      <c r="O6" s="63">
        <f>SUM(C6:N6)</f>
        <v>51845.5094893681</v>
      </c>
      <c r="P6" s="64"/>
    </row>
    <row r="7" ht="18" customHeight="1">
      <c r="A7" s="34"/>
      <c r="B7" t="s" s="58">
        <v>26</v>
      </c>
      <c r="C7" s="62">
        <v>7848</v>
      </c>
      <c r="D7" s="63">
        <f>C7*1.06</f>
        <v>8318.879999999999</v>
      </c>
      <c r="E7" s="59">
        <f>D7*1.06</f>
        <v>8818.0128</v>
      </c>
      <c r="F7" s="59">
        <f>E7*1.06</f>
        <v>9347.093568</v>
      </c>
      <c r="G7" s="60">
        <f>F7*1.06</f>
        <v>9907.919182080001</v>
      </c>
      <c r="H7" s="61">
        <f>G7*1.06</f>
        <v>10502.3943330048</v>
      </c>
      <c r="I7" s="59">
        <f>H7*1.06</f>
        <v>11132.5379929851</v>
      </c>
      <c r="J7" s="59">
        <f>I7*1.06</f>
        <v>11800.4902725642</v>
      </c>
      <c r="K7" s="59">
        <f>J7*1.06</f>
        <v>12508.5196889181</v>
      </c>
      <c r="L7" s="59">
        <f>K7*1.06</f>
        <v>13259.0308702532</v>
      </c>
      <c r="M7" s="59">
        <f>L7*1.06</f>
        <v>14054.5727224684</v>
      </c>
      <c r="N7" s="62">
        <f>M7*1.06</f>
        <v>14897.8470858165</v>
      </c>
      <c r="O7" s="63">
        <f>SUM(C7:N7)</f>
        <v>132395.29851609</v>
      </c>
      <c r="P7" s="67"/>
    </row>
    <row r="8" ht="18" customHeight="1">
      <c r="A8" s="34"/>
      <c r="B8" t="s" s="58">
        <v>27</v>
      </c>
      <c r="C8" s="60">
        <v>6750</v>
      </c>
      <c r="D8" s="61">
        <v>6750</v>
      </c>
      <c r="E8" s="59">
        <v>6750</v>
      </c>
      <c r="F8" s="59">
        <v>6750</v>
      </c>
      <c r="G8" s="60">
        <v>6750</v>
      </c>
      <c r="H8" s="147">
        <v>9250</v>
      </c>
      <c r="I8" s="147">
        <v>9250</v>
      </c>
      <c r="J8" s="147">
        <v>9250</v>
      </c>
      <c r="K8" s="147">
        <v>9250</v>
      </c>
      <c r="L8" s="147">
        <v>12325</v>
      </c>
      <c r="M8" s="147">
        <v>12325</v>
      </c>
      <c r="N8" s="147">
        <v>12325</v>
      </c>
      <c r="O8" s="61">
        <f>SUM(C8:N8)</f>
        <v>107725</v>
      </c>
      <c r="P8" s="67"/>
    </row>
    <row r="9" ht="18" customHeight="1">
      <c r="A9" s="34"/>
      <c r="B9" t="s" s="58">
        <v>28</v>
      </c>
      <c r="C9" s="62">
        <v>0</v>
      </c>
      <c r="D9" s="63">
        <v>0</v>
      </c>
      <c r="E9" s="59">
        <v>0</v>
      </c>
      <c r="F9" s="59">
        <v>14000</v>
      </c>
      <c r="G9" s="60">
        <v>0</v>
      </c>
      <c r="H9" s="61">
        <v>0</v>
      </c>
      <c r="I9" s="59">
        <v>14000</v>
      </c>
      <c r="J9" s="59">
        <v>0</v>
      </c>
      <c r="K9" s="59">
        <v>0</v>
      </c>
      <c r="L9" s="59">
        <v>14000</v>
      </c>
      <c r="M9" s="59">
        <v>0</v>
      </c>
      <c r="N9" s="62">
        <v>0</v>
      </c>
      <c r="O9" s="63">
        <f>SUM(C9:N9)</f>
        <v>42000</v>
      </c>
      <c r="P9" s="67"/>
    </row>
    <row r="10" ht="18" customHeight="1">
      <c r="A10" s="34"/>
      <c r="B10" t="s" s="73">
        <v>28</v>
      </c>
      <c r="C10" s="77">
        <f>C6+C7+C8+C9</f>
        <v>17330</v>
      </c>
      <c r="D10" s="78">
        <f>D6+D7+D8+D9</f>
        <v>18019.44</v>
      </c>
      <c r="E10" s="74">
        <f>E6+E7+E8+E9</f>
        <v>18754.6176</v>
      </c>
      <c r="F10" s="74">
        <f>F6+F7+F8+F9</f>
        <v>33538.626752</v>
      </c>
      <c r="G10" s="75">
        <f>G6+G7+G8+G9</f>
        <v>20374.7750208</v>
      </c>
      <c r="H10" s="76">
        <f>H6+H7+H8+H9</f>
        <v>23766.5986388224</v>
      </c>
      <c r="I10" s="74">
        <f>I6+I7+I8+I9</f>
        <v>38717.8786432681</v>
      </c>
      <c r="J10" s="74">
        <f>J6+J7+J8+J9</f>
        <v>25732.6581748699</v>
      </c>
      <c r="K10" s="74">
        <f>K6+K7+K8+K9</f>
        <v>26815.2610234082</v>
      </c>
      <c r="L10" s="74">
        <f>L6+L7+L8+L9</f>
        <v>45045.3115115025</v>
      </c>
      <c r="M10" s="74">
        <f>M6+M7+M8+M9</f>
        <v>32277.7558150177</v>
      </c>
      <c r="N10" s="77">
        <f>N6+N7+N8+N9</f>
        <v>33592.8848257697</v>
      </c>
      <c r="O10" s="78">
        <f>O6+O7+O8+O9</f>
        <v>333965.808005458</v>
      </c>
      <c r="P10" s="79"/>
    </row>
    <row r="11" ht="18" customHeight="1">
      <c r="A11" s="34"/>
      <c r="B11" t="s" s="58">
        <v>30</v>
      </c>
      <c r="C11" s="62">
        <f>0.98*C1</f>
        <v>3987.62</v>
      </c>
      <c r="D11" s="63">
        <f>0.98*D1</f>
        <v>4226.8772</v>
      </c>
      <c r="E11" s="59">
        <f>0.98*E1</f>
        <v>4480.489832</v>
      </c>
      <c r="F11" s="59">
        <f>0.98*F1</f>
        <v>4749.31922192</v>
      </c>
      <c r="G11" s="62">
        <f>0.98*G1</f>
        <v>5034.2783752352</v>
      </c>
      <c r="H11" s="63">
        <f>0.98*H1</f>
        <v>5336.335077749310</v>
      </c>
      <c r="I11" s="59">
        <f>0.98*I1</f>
        <v>5656.515182414270</v>
      </c>
      <c r="J11" s="59">
        <f>0.98*J1</f>
        <v>5995.906093359120</v>
      </c>
      <c r="K11" s="59">
        <f>0.98*K1</f>
        <v>6355.660458960670</v>
      </c>
      <c r="L11" s="59">
        <f>0.98*L1</f>
        <v>6737.000086498310</v>
      </c>
      <c r="M11" s="59">
        <f>0.98*M1</f>
        <v>7141.220091688210</v>
      </c>
      <c r="N11" s="62">
        <f>0.98*N1</f>
        <v>7569.6932971895</v>
      </c>
      <c r="O11" s="63">
        <f>0.98*O1</f>
        <v>67270.9149170146</v>
      </c>
      <c r="P11" s="80">
        <f>O11/$O$10</f>
        <v>0.201430545596198</v>
      </c>
    </row>
    <row r="12" ht="18" customHeight="1">
      <c r="A12" s="34"/>
      <c r="B12" t="s" s="58">
        <v>32</v>
      </c>
      <c r="C12" s="62">
        <f>0.056*C1</f>
        <v>227.864</v>
      </c>
      <c r="D12" s="63">
        <f>0.056*D1</f>
        <v>241.53584</v>
      </c>
      <c r="E12" s="59">
        <f>0.056*E1</f>
        <v>256.0279904</v>
      </c>
      <c r="F12" s="59">
        <f>0.056*F1</f>
        <v>271.389669824</v>
      </c>
      <c r="G12" s="62">
        <f>0.056*G1</f>
        <v>287.673050013440</v>
      </c>
      <c r="H12" s="63">
        <f>0.056*H1</f>
        <v>304.933433014246</v>
      </c>
      <c r="I12" s="59">
        <f>0.056*I1</f>
        <v>323.229438995101</v>
      </c>
      <c r="J12" s="59">
        <f>0.056*J1</f>
        <v>342.623205334807</v>
      </c>
      <c r="K12" s="59">
        <f>0.056*K1</f>
        <v>363.180597654895</v>
      </c>
      <c r="L12" s="59">
        <f>0.056*L1</f>
        <v>384.971433514189</v>
      </c>
      <c r="M12" s="59">
        <f>0.056*M1</f>
        <v>408.069719525041</v>
      </c>
      <c r="N12" s="62">
        <f>0.056*N1</f>
        <v>432.553902696543</v>
      </c>
      <c r="O12" s="63">
        <f>0.056*O1</f>
        <v>3844.052280972270</v>
      </c>
      <c r="P12" s="80">
        <f>O12/$O$10</f>
        <v>0.0115103168912114</v>
      </c>
    </row>
    <row r="13" ht="18" customHeight="1">
      <c r="A13" s="34"/>
      <c r="B13" t="s" s="58">
        <v>33</v>
      </c>
      <c r="C13" s="62">
        <f>1.18*C2</f>
        <v>362.26</v>
      </c>
      <c r="D13" s="63">
        <f>1.18*D2</f>
        <v>391.2408</v>
      </c>
      <c r="E13" s="59">
        <f>1.18*E2</f>
        <v>422.540064</v>
      </c>
      <c r="F13" s="59">
        <f>1.18*F2</f>
        <v>456.34326912</v>
      </c>
      <c r="G13" s="62">
        <f>1.18*G2</f>
        <v>492.8507306496</v>
      </c>
      <c r="H13" s="63">
        <f>1.18*H2</f>
        <v>532.278789101568</v>
      </c>
      <c r="I13" s="59">
        <f>1.18*I2</f>
        <v>574.861092229693</v>
      </c>
      <c r="J13" s="59">
        <f>1.18*J2</f>
        <v>620.849979608069</v>
      </c>
      <c r="K13" s="59">
        <f>1.18*K2</f>
        <v>670.517977976715</v>
      </c>
      <c r="L13" s="59">
        <f>1.18*L2</f>
        <v>724.1594162148519</v>
      </c>
      <c r="M13" s="59">
        <f>1.18*M2</f>
        <v>782.092169512040</v>
      </c>
      <c r="N13" s="62">
        <f>1.18*N2</f>
        <v>844.659543073004</v>
      </c>
      <c r="O13" s="63">
        <f>1.18*O2</f>
        <v>6874.653831485540</v>
      </c>
      <c r="P13" s="80">
        <f>O13/$O$10</f>
        <v>0.0205849032047412</v>
      </c>
    </row>
    <row r="14" ht="18" customHeight="1">
      <c r="A14" s="34"/>
      <c r="B14" t="s" s="82">
        <v>34</v>
      </c>
      <c r="C14" s="84">
        <f>SUM(C11:C13)</f>
        <v>4577.744</v>
      </c>
      <c r="D14" s="85">
        <f>SUM(D11:D13)</f>
        <v>4859.65384</v>
      </c>
      <c r="E14" s="83">
        <f>SUM(E11:E13)</f>
        <v>5159.0578864</v>
      </c>
      <c r="F14" s="83">
        <f>SUM(F11:F13)</f>
        <v>5477.052160864</v>
      </c>
      <c r="G14" s="84">
        <f>SUM(G11:G13)</f>
        <v>5814.802155898240</v>
      </c>
      <c r="H14" s="85">
        <f>SUM(H11:H13)</f>
        <v>6173.547299865120</v>
      </c>
      <c r="I14" s="83">
        <f>SUM(I11:I13)</f>
        <v>6554.605713639060</v>
      </c>
      <c r="J14" s="83">
        <f>SUM(J11:J13)</f>
        <v>6959.379278302</v>
      </c>
      <c r="K14" s="83">
        <f>SUM(K11:K13)</f>
        <v>7389.359034592280</v>
      </c>
      <c r="L14" s="83">
        <f>SUM(L11:L13)</f>
        <v>7846.130936227350</v>
      </c>
      <c r="M14" s="83">
        <f>SUM(M11:M13)</f>
        <v>8331.381980725289</v>
      </c>
      <c r="N14" s="84">
        <f>SUM(N11:N13)</f>
        <v>8846.906742959050</v>
      </c>
      <c r="O14" s="85">
        <f>SUM(C14:N14)</f>
        <v>77989.6210294724</v>
      </c>
      <c r="P14" s="86">
        <f>O14/$O$10</f>
        <v>0.233525765692151</v>
      </c>
    </row>
    <row r="15" ht="18" customHeight="1">
      <c r="A15" s="34"/>
      <c r="B15" t="s" s="58">
        <v>35</v>
      </c>
      <c r="C15" s="62">
        <f>0.02*C6</f>
        <v>54.64</v>
      </c>
      <c r="D15" s="63">
        <f>0.02*D6</f>
        <v>59.0112</v>
      </c>
      <c r="E15" s="59">
        <f>0.02*E6</f>
        <v>63.732096</v>
      </c>
      <c r="F15" s="59">
        <f>0.02*F6</f>
        <v>68.83066368</v>
      </c>
      <c r="G15" s="60">
        <f>0.02*G6</f>
        <v>74.3371167744</v>
      </c>
      <c r="H15" s="61">
        <f>0.02*H6</f>
        <v>80.284086116352</v>
      </c>
      <c r="I15" s="59">
        <f>0.02*I6</f>
        <v>86.70681300566019</v>
      </c>
      <c r="J15" s="59">
        <f>0.02*J6</f>
        <v>93.64335804611299</v>
      </c>
      <c r="K15" s="59">
        <f>0.02*K6</f>
        <v>101.134826689802</v>
      </c>
      <c r="L15" s="59">
        <f>0.02*L6</f>
        <v>109.225612824986</v>
      </c>
      <c r="M15" s="59">
        <f>0.02*M6</f>
        <v>117.963661850985</v>
      </c>
      <c r="N15" s="62">
        <f>0.02*N6</f>
        <v>127.400754799064</v>
      </c>
      <c r="O15" s="63">
        <f>0.02*O6</f>
        <v>1036.910189787360</v>
      </c>
      <c r="P15" s="80"/>
    </row>
    <row r="16" ht="18" customHeight="1">
      <c r="A16" s="34"/>
      <c r="B16" t="s" s="58">
        <v>37</v>
      </c>
      <c r="C16" s="62">
        <f>10*99</f>
        <v>990</v>
      </c>
      <c r="D16" s="63">
        <f>C16*1.1</f>
        <v>1089</v>
      </c>
      <c r="E16" s="59">
        <f>D16*1.1</f>
        <v>1197.9</v>
      </c>
      <c r="F16" s="59">
        <f>E16*1.1</f>
        <v>1317.69</v>
      </c>
      <c r="G16" s="60">
        <f>F16*1.1</f>
        <v>1449.459</v>
      </c>
      <c r="H16" s="61">
        <f>G16*1.1</f>
        <v>1594.4049</v>
      </c>
      <c r="I16" s="59">
        <f>H16*1.1</f>
        <v>1753.84539</v>
      </c>
      <c r="J16" s="59">
        <f>I16*1.1</f>
        <v>1929.229929</v>
      </c>
      <c r="K16" s="59">
        <f>J16*1.1</f>
        <v>2122.1529219</v>
      </c>
      <c r="L16" s="59">
        <f>K16*1.1</f>
        <v>2334.36821409</v>
      </c>
      <c r="M16" s="59">
        <f>L16*1.1</f>
        <v>2567.805035499</v>
      </c>
      <c r="N16" s="62">
        <f>M16*1.1</f>
        <v>2824.5855390489</v>
      </c>
      <c r="O16" s="63">
        <f>SUM(C16,D16,E16,F16,G16,H16,J16,I16,K16,L16,M16,N16)</f>
        <v>21170.4409295379</v>
      </c>
      <c r="P16" s="80"/>
    </row>
    <row r="17" ht="18" customHeight="1">
      <c r="A17" s="34"/>
      <c r="B17" t="s" s="58">
        <v>38</v>
      </c>
      <c r="C17" s="62">
        <f>75*10</f>
        <v>750</v>
      </c>
      <c r="D17" s="63">
        <v>900</v>
      </c>
      <c r="E17" s="59">
        <v>900</v>
      </c>
      <c r="F17" s="59">
        <v>900</v>
      </c>
      <c r="G17" s="60">
        <v>900</v>
      </c>
      <c r="H17" s="61">
        <v>900</v>
      </c>
      <c r="I17" s="59">
        <v>900</v>
      </c>
      <c r="J17" s="59">
        <v>900</v>
      </c>
      <c r="K17" s="59">
        <v>900</v>
      </c>
      <c r="L17" s="59">
        <v>900</v>
      </c>
      <c r="M17" s="59">
        <v>900</v>
      </c>
      <c r="N17" s="62">
        <v>900</v>
      </c>
      <c r="O17" s="63">
        <f>SUM(C17:N17)</f>
        <v>10650</v>
      </c>
      <c r="P17" s="80">
        <f>O17/$O$10</f>
        <v>0.0318894921117971</v>
      </c>
    </row>
    <row r="18" ht="18" customHeight="1">
      <c r="A18" s="34"/>
      <c r="B18" t="s" s="58">
        <v>39</v>
      </c>
      <c r="C18" s="62">
        <f>10*10</f>
        <v>100</v>
      </c>
      <c r="D18" s="63">
        <v>120</v>
      </c>
      <c r="E18" s="59">
        <v>120</v>
      </c>
      <c r="F18" s="59">
        <v>120</v>
      </c>
      <c r="G18" s="60">
        <v>120</v>
      </c>
      <c r="H18" s="61">
        <v>120</v>
      </c>
      <c r="I18" s="59">
        <v>120</v>
      </c>
      <c r="J18" s="59">
        <v>120</v>
      </c>
      <c r="K18" s="59">
        <v>120</v>
      </c>
      <c r="L18" s="59">
        <v>120</v>
      </c>
      <c r="M18" s="59">
        <v>120</v>
      </c>
      <c r="N18" s="62">
        <v>120</v>
      </c>
      <c r="O18" s="63">
        <f>SUM(C18:N18)</f>
        <v>1420</v>
      </c>
      <c r="P18" s="80">
        <f>O18/$O$10</f>
        <v>0.00425193228157295</v>
      </c>
    </row>
    <row r="19" ht="18" customHeight="1">
      <c r="A19" s="34"/>
      <c r="B19" t="s" s="82">
        <v>41</v>
      </c>
      <c r="C19" s="84">
        <f>SUM(C15,C16,C17,C18)</f>
        <v>1894.64</v>
      </c>
      <c r="D19" s="85">
        <f>SUM(D15,D16,D17,D18)</f>
        <v>2168.0112</v>
      </c>
      <c r="E19" s="83">
        <f>SUM(E15,E16,E17,E18)</f>
        <v>2281.632096</v>
      </c>
      <c r="F19" s="83">
        <f>SUM(F15,F16,F17,F18)</f>
        <v>2406.52066368</v>
      </c>
      <c r="G19" s="90">
        <f>SUM(G15,G16,G17,G18)</f>
        <v>2543.7961167744</v>
      </c>
      <c r="H19" s="91">
        <f>SUM(H15,H16,H17,H18)</f>
        <v>2694.688986116350</v>
      </c>
      <c r="I19" s="83">
        <f>SUM(I15,I16,I17,I18)</f>
        <v>2860.552203005660</v>
      </c>
      <c r="J19" s="83">
        <f>SUM(J15,J16,J17,J18)</f>
        <v>3042.873287046110</v>
      </c>
      <c r="K19" s="83">
        <f>SUM(K15,K16,K17,K18)</f>
        <v>3243.2877485898</v>
      </c>
      <c r="L19" s="83">
        <f>SUM(L15,L16,L17,L18)</f>
        <v>3463.593826914990</v>
      </c>
      <c r="M19" s="83">
        <f>SUM(M15,M16,M17,M18)</f>
        <v>3705.768697349990</v>
      </c>
      <c r="N19" s="84">
        <f>SUM(N15,N16,N17,N18)</f>
        <v>3971.986293847960</v>
      </c>
      <c r="O19" s="85">
        <f>SUM(O15,O16,O17,O18)</f>
        <v>34277.3511193253</v>
      </c>
      <c r="P19" s="86">
        <f>O19/$O$10</f>
        <v>0.102637306866951</v>
      </c>
    </row>
    <row r="20" ht="18" customHeight="1">
      <c r="A20" s="34"/>
      <c r="B20" s="41"/>
      <c r="C20" s="62"/>
      <c r="D20" s="63"/>
      <c r="E20" s="59"/>
      <c r="F20" s="59"/>
      <c r="G20" s="60"/>
      <c r="H20" s="61"/>
      <c r="I20" s="59"/>
      <c r="J20" s="59"/>
      <c r="K20" s="59"/>
      <c r="L20" s="59"/>
      <c r="M20" s="59"/>
      <c r="N20" s="62"/>
      <c r="O20" s="63"/>
      <c r="P20" s="80"/>
    </row>
    <row r="21" ht="18" customHeight="1">
      <c r="A21" s="34"/>
      <c r="B21" t="s" s="92">
        <v>42</v>
      </c>
      <c r="C21" s="84">
        <f>C14+C19</f>
        <v>6472.384</v>
      </c>
      <c r="D21" s="85">
        <f>D14+D19</f>
        <v>7027.66504</v>
      </c>
      <c r="E21" s="83">
        <f>E14+E19</f>
        <v>7440.6899824</v>
      </c>
      <c r="F21" s="83">
        <f>F14+F19</f>
        <v>7883.572824544</v>
      </c>
      <c r="G21" s="90">
        <f>G14+G19</f>
        <v>8358.598272672640</v>
      </c>
      <c r="H21" s="91">
        <f>H14+H19</f>
        <v>8868.236285981469</v>
      </c>
      <c r="I21" s="83">
        <f>I14+I19</f>
        <v>9415.157916644721</v>
      </c>
      <c r="J21" s="83">
        <f>J14+J19</f>
        <v>10002.2525653481</v>
      </c>
      <c r="K21" s="83">
        <f>K14+K19</f>
        <v>10632.6467831821</v>
      </c>
      <c r="L21" s="83">
        <f>L14+L19</f>
        <v>11309.7247631423</v>
      </c>
      <c r="M21" s="83">
        <f>M14+M19</f>
        <v>12037.1506780753</v>
      </c>
      <c r="N21" s="84">
        <f>N14+N19</f>
        <v>12818.893036807</v>
      </c>
      <c r="O21" s="85">
        <f>SUM(C21:N21)</f>
        <v>112266.972148798</v>
      </c>
      <c r="P21" s="86">
        <f>O21/$O$10</f>
        <v>0.336163072559102</v>
      </c>
    </row>
    <row r="22" ht="18" customHeight="1">
      <c r="A22" s="34"/>
      <c r="B22" s="41"/>
      <c r="C22" s="62"/>
      <c r="D22" s="63"/>
      <c r="E22" s="59"/>
      <c r="F22" s="59"/>
      <c r="G22" s="60"/>
      <c r="H22" s="61"/>
      <c r="I22" s="59"/>
      <c r="J22" s="59"/>
      <c r="K22" s="59"/>
      <c r="L22" s="59"/>
      <c r="M22" s="59"/>
      <c r="N22" s="62"/>
      <c r="O22" s="63"/>
      <c r="P22" s="80"/>
    </row>
    <row r="23" ht="18" customHeight="1">
      <c r="A23" s="34"/>
      <c r="B23" t="s" s="73">
        <v>44</v>
      </c>
      <c r="C23" s="77">
        <f>C10-C21</f>
        <v>10857.616</v>
      </c>
      <c r="D23" s="78">
        <f>D10-D21</f>
        <v>10991.77496</v>
      </c>
      <c r="E23" s="74">
        <f>E10-E21</f>
        <v>11313.9276176</v>
      </c>
      <c r="F23" s="74">
        <f>F10-F21</f>
        <v>25655.053927456</v>
      </c>
      <c r="G23" s="75">
        <f>G10-G21</f>
        <v>12016.1767481274</v>
      </c>
      <c r="H23" s="76">
        <f>H10-H21</f>
        <v>14898.3623528409</v>
      </c>
      <c r="I23" s="74">
        <f>I10-I21</f>
        <v>29302.7207266234</v>
      </c>
      <c r="J23" s="74">
        <f>J10-J21</f>
        <v>15730.4056095218</v>
      </c>
      <c r="K23" s="74">
        <f>K10-K21</f>
        <v>16182.6142402261</v>
      </c>
      <c r="L23" s="74">
        <f>L10-L21</f>
        <v>33735.5867483602</v>
      </c>
      <c r="M23" s="74">
        <f>M10-M21</f>
        <v>20240.6051369424</v>
      </c>
      <c r="N23" s="77">
        <f>N10-N21</f>
        <v>20773.9917889627</v>
      </c>
      <c r="O23" s="78">
        <f>SUM(C23:N23)</f>
        <v>221698.835856661</v>
      </c>
      <c r="P23" s="93">
        <f>O23/$O$10</f>
        <v>0.6638369274409009</v>
      </c>
    </row>
    <row r="24" ht="18" customHeight="1">
      <c r="A24" s="34"/>
      <c r="B24" s="41"/>
      <c r="C24" s="59"/>
      <c r="D24" s="59"/>
      <c r="E24" s="59"/>
      <c r="F24" s="59"/>
      <c r="G24" s="60"/>
      <c r="H24" s="61"/>
      <c r="I24" s="59"/>
      <c r="J24" s="59"/>
      <c r="K24" s="59"/>
      <c r="L24" s="59"/>
      <c r="M24" s="59"/>
      <c r="N24" s="62"/>
      <c r="O24" s="63"/>
      <c r="P24" s="80"/>
    </row>
    <row r="25" ht="18" customHeight="1">
      <c r="A25" s="34"/>
      <c r="B25" t="s" s="58">
        <v>94</v>
      </c>
      <c r="C25" s="59">
        <f t="shared" si="193" ref="C25:N25">3149.76</f>
        <v>3149.76</v>
      </c>
      <c r="D25" s="59">
        <f t="shared" si="193"/>
        <v>3149.76</v>
      </c>
      <c r="E25" s="59">
        <f t="shared" si="193"/>
        <v>3149.76</v>
      </c>
      <c r="F25" s="59">
        <f t="shared" si="193"/>
        <v>3149.76</v>
      </c>
      <c r="G25" s="60">
        <f t="shared" si="193"/>
        <v>3149.76</v>
      </c>
      <c r="H25" s="61">
        <f t="shared" si="193"/>
        <v>3149.76</v>
      </c>
      <c r="I25" s="59">
        <f t="shared" si="193"/>
        <v>3149.76</v>
      </c>
      <c r="J25" s="59">
        <f t="shared" si="193"/>
        <v>3149.76</v>
      </c>
      <c r="K25" s="59">
        <f t="shared" si="193"/>
        <v>3149.76</v>
      </c>
      <c r="L25" s="59">
        <f t="shared" si="193"/>
        <v>3149.76</v>
      </c>
      <c r="M25" s="59">
        <f t="shared" si="193"/>
        <v>3149.76</v>
      </c>
      <c r="N25" s="62">
        <f t="shared" si="193"/>
        <v>3149.76</v>
      </c>
      <c r="O25" s="63">
        <f>SUM(C25:N25)</f>
        <v>37797.12</v>
      </c>
      <c r="P25" s="80">
        <f>O25/$O$10</f>
        <v>0.113176615970765</v>
      </c>
    </row>
    <row r="26" ht="18" customHeight="1">
      <c r="A26" s="34"/>
      <c r="B26" t="s" s="58">
        <v>95</v>
      </c>
      <c r="C26" s="59">
        <f t="shared" si="207" ref="C26:N26">2173</f>
        <v>2173</v>
      </c>
      <c r="D26" s="59">
        <f t="shared" si="207"/>
        <v>2173</v>
      </c>
      <c r="E26" s="59">
        <f t="shared" si="207"/>
        <v>2173</v>
      </c>
      <c r="F26" s="59">
        <f t="shared" si="207"/>
        <v>2173</v>
      </c>
      <c r="G26" s="60">
        <f t="shared" si="207"/>
        <v>2173</v>
      </c>
      <c r="H26" s="61">
        <f t="shared" si="207"/>
        <v>2173</v>
      </c>
      <c r="I26" s="59">
        <f t="shared" si="207"/>
        <v>2173</v>
      </c>
      <c r="J26" s="59">
        <f t="shared" si="207"/>
        <v>2173</v>
      </c>
      <c r="K26" s="59">
        <f t="shared" si="207"/>
        <v>2173</v>
      </c>
      <c r="L26" s="59">
        <f t="shared" si="207"/>
        <v>2173</v>
      </c>
      <c r="M26" s="59">
        <f t="shared" si="207"/>
        <v>2173</v>
      </c>
      <c r="N26" s="62">
        <f t="shared" si="207"/>
        <v>2173</v>
      </c>
      <c r="O26" s="63">
        <f>SUM(C26:N26)</f>
        <v>26076</v>
      </c>
      <c r="P26" s="80">
        <f>O26/$O$10</f>
        <v>0.07807984941851839</v>
      </c>
    </row>
    <row r="27" ht="18" customHeight="1">
      <c r="A27" s="34"/>
      <c r="B27" t="s" s="58">
        <v>96</v>
      </c>
      <c r="C27" s="59">
        <v>2475</v>
      </c>
      <c r="D27" s="59">
        <v>2475</v>
      </c>
      <c r="E27" s="59">
        <v>2475</v>
      </c>
      <c r="F27" s="59">
        <v>2475</v>
      </c>
      <c r="G27" s="60">
        <v>2475</v>
      </c>
      <c r="H27" s="61">
        <v>2475</v>
      </c>
      <c r="I27" s="59">
        <v>2475</v>
      </c>
      <c r="J27" s="59">
        <v>2475</v>
      </c>
      <c r="K27" s="59">
        <v>2475</v>
      </c>
      <c r="L27" s="59">
        <v>2475</v>
      </c>
      <c r="M27" s="59">
        <v>2475</v>
      </c>
      <c r="N27" s="62">
        <v>2475</v>
      </c>
      <c r="O27" s="63">
        <f>SUM(C27:N27)</f>
        <v>29700</v>
      </c>
      <c r="P27" s="80">
        <f>O27/$O$10</f>
        <v>0.0889312596920539</v>
      </c>
    </row>
    <row r="28" ht="18" customHeight="1">
      <c r="A28" s="34"/>
      <c r="B28" t="s" s="58">
        <v>48</v>
      </c>
      <c r="C28" s="59">
        <v>215</v>
      </c>
      <c r="D28" s="59">
        <v>215</v>
      </c>
      <c r="E28" s="59">
        <v>215</v>
      </c>
      <c r="F28" s="59">
        <v>215</v>
      </c>
      <c r="G28" s="60">
        <v>215</v>
      </c>
      <c r="H28" s="61">
        <v>215</v>
      </c>
      <c r="I28" s="59">
        <v>215</v>
      </c>
      <c r="J28" s="59">
        <v>215</v>
      </c>
      <c r="K28" s="59">
        <v>215</v>
      </c>
      <c r="L28" s="59">
        <v>215</v>
      </c>
      <c r="M28" s="59">
        <v>215</v>
      </c>
      <c r="N28" s="62">
        <v>215</v>
      </c>
      <c r="O28" s="63">
        <f>SUM(C28:N28)</f>
        <v>2580</v>
      </c>
      <c r="P28" s="80">
        <f>O28/$O$10</f>
        <v>0.0077253417510269</v>
      </c>
    </row>
    <row r="29" ht="18" customHeight="1">
      <c r="A29" s="34"/>
      <c r="B29" t="s" s="58">
        <v>97</v>
      </c>
      <c r="C29" s="59">
        <v>1938</v>
      </c>
      <c r="D29" s="59">
        <v>1938</v>
      </c>
      <c r="E29" s="59">
        <v>1938</v>
      </c>
      <c r="F29" s="59">
        <v>1938</v>
      </c>
      <c r="G29" s="60">
        <v>1938</v>
      </c>
      <c r="H29" s="61">
        <v>1938</v>
      </c>
      <c r="I29" s="59">
        <v>1938</v>
      </c>
      <c r="J29" s="59">
        <v>1938</v>
      </c>
      <c r="K29" s="59">
        <v>1938</v>
      </c>
      <c r="L29" s="59">
        <v>1938</v>
      </c>
      <c r="M29" s="59">
        <v>1938</v>
      </c>
      <c r="N29" s="62">
        <v>1938</v>
      </c>
      <c r="O29" s="63">
        <f>SUM(C29:N29)</f>
        <v>23256</v>
      </c>
      <c r="P29" s="80">
        <f>O29/$O$10</f>
        <v>0.0696358712255355</v>
      </c>
    </row>
    <row r="30" ht="18" customHeight="1">
      <c r="A30" s="34"/>
      <c r="B30" t="s" s="82">
        <v>98</v>
      </c>
      <c r="C30" s="83">
        <f>SUM(C25:C29)</f>
        <v>9950.76</v>
      </c>
      <c r="D30" s="83">
        <f>SUM(D25:D29)</f>
        <v>9950.76</v>
      </c>
      <c r="E30" s="83">
        <f>SUM(E25:E29)</f>
        <v>9950.76</v>
      </c>
      <c r="F30" s="83">
        <f>SUM(F25:F29)</f>
        <v>9950.76</v>
      </c>
      <c r="G30" s="90">
        <f>SUM(G25:G29)</f>
        <v>9950.76</v>
      </c>
      <c r="H30" s="91">
        <f>SUM(H25:H29)</f>
        <v>9950.76</v>
      </c>
      <c r="I30" s="83">
        <f>SUM(I25:I29)</f>
        <v>9950.76</v>
      </c>
      <c r="J30" s="83">
        <f>SUM(J25:J29)</f>
        <v>9950.76</v>
      </c>
      <c r="K30" s="83">
        <f>SUM(K25:K29)</f>
        <v>9950.76</v>
      </c>
      <c r="L30" s="83">
        <f>SUM(L25:L29)</f>
        <v>9950.76</v>
      </c>
      <c r="M30" s="83">
        <f>SUM(M25:M29)</f>
        <v>9950.76</v>
      </c>
      <c r="N30" s="84">
        <f>SUM(N25:N29)</f>
        <v>9950.76</v>
      </c>
      <c r="O30" s="85">
        <f>SUM(C30:N30)</f>
        <v>119409.12</v>
      </c>
      <c r="P30" s="86">
        <f>O30/$O$10</f>
        <v>0.3575489380579</v>
      </c>
    </row>
    <row r="31" ht="18" customHeight="1">
      <c r="A31" s="34"/>
      <c r="B31" t="s" s="58">
        <v>99</v>
      </c>
      <c r="C31" s="59">
        <v>1500</v>
      </c>
      <c r="D31" s="59">
        <v>1500</v>
      </c>
      <c r="E31" s="59">
        <v>1500</v>
      </c>
      <c r="F31" s="59">
        <v>1500</v>
      </c>
      <c r="G31" s="60">
        <v>1500</v>
      </c>
      <c r="H31" s="61">
        <v>2000</v>
      </c>
      <c r="I31" s="59">
        <v>2000</v>
      </c>
      <c r="J31" s="59">
        <v>2000</v>
      </c>
      <c r="K31" s="59">
        <v>2000</v>
      </c>
      <c r="L31" s="59">
        <v>2000</v>
      </c>
      <c r="M31" s="59">
        <v>2000</v>
      </c>
      <c r="N31" s="62">
        <v>2000</v>
      </c>
      <c r="O31" s="63">
        <f>C31+D31+E31+F31+G31+H31+I31+J31+K31+L31+M31+N31</f>
        <v>21500</v>
      </c>
      <c r="P31" s="80"/>
    </row>
    <row r="32" ht="18" customHeight="1">
      <c r="A32" s="34"/>
      <c r="B32" t="s" s="58">
        <v>100</v>
      </c>
      <c r="C32" s="59">
        <v>500</v>
      </c>
      <c r="D32" s="59">
        <v>500</v>
      </c>
      <c r="E32" s="59">
        <v>500</v>
      </c>
      <c r="F32" s="59">
        <v>500</v>
      </c>
      <c r="G32" s="60">
        <v>500</v>
      </c>
      <c r="H32" s="61">
        <v>500</v>
      </c>
      <c r="I32" s="59">
        <v>500</v>
      </c>
      <c r="J32" s="59">
        <v>500</v>
      </c>
      <c r="K32" s="59">
        <v>500</v>
      </c>
      <c r="L32" s="59">
        <v>500</v>
      </c>
      <c r="M32" s="59">
        <v>500</v>
      </c>
      <c r="N32" s="62">
        <v>500</v>
      </c>
      <c r="O32" s="63">
        <f>SUM(C32:N32)</f>
        <v>6000</v>
      </c>
      <c r="P32" s="80">
        <f>O32/$O$10</f>
        <v>0.0179659110488998</v>
      </c>
    </row>
    <row r="33" ht="18" customHeight="1">
      <c r="A33" s="34"/>
      <c r="B33" t="s" s="58">
        <v>55</v>
      </c>
      <c r="C33" s="59">
        <f t="shared" si="244" ref="C33:N33">399</f>
        <v>399</v>
      </c>
      <c r="D33" s="59">
        <f t="shared" si="244"/>
        <v>399</v>
      </c>
      <c r="E33" s="59">
        <f t="shared" si="244"/>
        <v>399</v>
      </c>
      <c r="F33" s="59">
        <f t="shared" si="244"/>
        <v>399</v>
      </c>
      <c r="G33" s="60">
        <f t="shared" si="244"/>
        <v>399</v>
      </c>
      <c r="H33" s="61">
        <f t="shared" si="244"/>
        <v>399</v>
      </c>
      <c r="I33" s="59">
        <f t="shared" si="244"/>
        <v>399</v>
      </c>
      <c r="J33" s="59">
        <f t="shared" si="244"/>
        <v>399</v>
      </c>
      <c r="K33" s="59">
        <f t="shared" si="244"/>
        <v>399</v>
      </c>
      <c r="L33" s="59">
        <f t="shared" si="244"/>
        <v>399</v>
      </c>
      <c r="M33" s="59">
        <f t="shared" si="244"/>
        <v>399</v>
      </c>
      <c r="N33" s="62">
        <f t="shared" si="244"/>
        <v>399</v>
      </c>
      <c r="O33" s="63">
        <f>SUM(C33:N33)</f>
        <v>4788</v>
      </c>
      <c r="P33" s="80">
        <f>O33/$O$10</f>
        <v>0.014336797017022</v>
      </c>
    </row>
    <row r="34" ht="18" customHeight="1">
      <c r="A34" s="34"/>
      <c r="B34" t="s" s="58">
        <v>101</v>
      </c>
      <c r="C34" s="59">
        <v>0</v>
      </c>
      <c r="D34" s="62">
        <v>3500</v>
      </c>
      <c r="E34" s="63">
        <v>0</v>
      </c>
      <c r="F34" s="59">
        <v>0</v>
      </c>
      <c r="G34" s="60">
        <v>0</v>
      </c>
      <c r="H34" s="61">
        <v>0</v>
      </c>
      <c r="I34" s="62">
        <v>3500</v>
      </c>
      <c r="J34" s="63">
        <v>0</v>
      </c>
      <c r="K34" s="59">
        <v>0</v>
      </c>
      <c r="L34" s="59">
        <v>0</v>
      </c>
      <c r="M34" s="59">
        <v>0</v>
      </c>
      <c r="N34" s="62">
        <v>3500</v>
      </c>
      <c r="O34" s="63">
        <f>SUM(C34:N34)</f>
        <v>10500</v>
      </c>
      <c r="P34" s="80">
        <f>O34/$O$10</f>
        <v>0.0314403443355746</v>
      </c>
    </row>
    <row r="35" ht="18" customHeight="1">
      <c r="A35" s="34"/>
      <c r="B35" t="s" s="58">
        <v>102</v>
      </c>
      <c r="C35" s="59">
        <v>0</v>
      </c>
      <c r="D35" s="59">
        <v>0</v>
      </c>
      <c r="E35" s="59">
        <v>750</v>
      </c>
      <c r="F35" s="59">
        <v>750</v>
      </c>
      <c r="G35" s="60">
        <v>0</v>
      </c>
      <c r="H35" s="61">
        <v>750</v>
      </c>
      <c r="I35" s="59">
        <v>750</v>
      </c>
      <c r="J35" s="59">
        <v>0</v>
      </c>
      <c r="K35" s="59">
        <v>750</v>
      </c>
      <c r="L35" s="59">
        <v>750</v>
      </c>
      <c r="M35" s="59">
        <v>0</v>
      </c>
      <c r="N35" s="62">
        <v>0</v>
      </c>
      <c r="O35" s="63">
        <f>SUM(C35:N35)</f>
        <v>4500</v>
      </c>
      <c r="P35" s="80">
        <f>O35/$O$10</f>
        <v>0.0134744332866748</v>
      </c>
    </row>
    <row r="36" ht="18" customHeight="1">
      <c r="A36" s="34"/>
      <c r="B36" t="s" s="58">
        <v>59</v>
      </c>
      <c r="C36" s="59">
        <v>100</v>
      </c>
      <c r="D36" s="59">
        <v>100</v>
      </c>
      <c r="E36" s="59">
        <v>100</v>
      </c>
      <c r="F36" s="59">
        <v>100</v>
      </c>
      <c r="G36" s="60">
        <v>100</v>
      </c>
      <c r="H36" s="61">
        <v>100</v>
      </c>
      <c r="I36" s="59">
        <v>100</v>
      </c>
      <c r="J36" s="59">
        <v>100</v>
      </c>
      <c r="K36" s="59">
        <v>100</v>
      </c>
      <c r="L36" s="59">
        <v>100</v>
      </c>
      <c r="M36" s="59">
        <v>100</v>
      </c>
      <c r="N36" s="62">
        <v>100</v>
      </c>
      <c r="O36" s="63">
        <f>SUM(C36:N36)</f>
        <v>1200</v>
      </c>
      <c r="P36" s="80">
        <f>O36/$O$10</f>
        <v>0.00359318220977996</v>
      </c>
    </row>
    <row r="37" ht="18" customHeight="1">
      <c r="A37" s="34"/>
      <c r="B37" t="s" s="58">
        <v>60</v>
      </c>
      <c r="C37" s="59">
        <v>160</v>
      </c>
      <c r="D37" s="59">
        <v>160</v>
      </c>
      <c r="E37" s="59">
        <v>160</v>
      </c>
      <c r="F37" s="59">
        <v>160</v>
      </c>
      <c r="G37" s="60">
        <v>160</v>
      </c>
      <c r="H37" s="61">
        <v>160</v>
      </c>
      <c r="I37" s="59">
        <v>160</v>
      </c>
      <c r="J37" s="59">
        <v>160</v>
      </c>
      <c r="K37" s="59">
        <v>160</v>
      </c>
      <c r="L37" s="59">
        <v>160</v>
      </c>
      <c r="M37" s="59">
        <v>160</v>
      </c>
      <c r="N37" s="62">
        <v>160</v>
      </c>
      <c r="O37" s="63">
        <f>SUM(C37:N37)</f>
        <v>1920</v>
      </c>
      <c r="P37" s="80">
        <f>O37/$O$10</f>
        <v>0.00574909153564793</v>
      </c>
    </row>
    <row r="38" ht="18" customHeight="1">
      <c r="A38" s="34"/>
      <c r="B38" t="s" s="82">
        <v>62</v>
      </c>
      <c r="C38" s="83">
        <f>SUM(C31:C37)</f>
        <v>2659</v>
      </c>
      <c r="D38" s="83">
        <f>SUM(D31:D37)</f>
        <v>6159</v>
      </c>
      <c r="E38" s="83">
        <f>SUM(E31:E37)</f>
        <v>3409</v>
      </c>
      <c r="F38" s="83">
        <f>SUM(F31:F37)</f>
        <v>3409</v>
      </c>
      <c r="G38" s="90">
        <f>SUM(G31:G37)</f>
        <v>2659</v>
      </c>
      <c r="H38" s="91">
        <f>SUM(H31:H37)</f>
        <v>3909</v>
      </c>
      <c r="I38" s="83">
        <f>SUM(I31:I37)</f>
        <v>7409</v>
      </c>
      <c r="J38" s="83">
        <f>SUM(J31:J37)</f>
        <v>3159</v>
      </c>
      <c r="K38" s="83">
        <f>SUM(K31:K37)</f>
        <v>3909</v>
      </c>
      <c r="L38" s="83">
        <f>SUM(L31:L37)</f>
        <v>3909</v>
      </c>
      <c r="M38" s="83">
        <f>SUM(M31:M37)</f>
        <v>3159</v>
      </c>
      <c r="N38" s="84">
        <f>SUM(N31:N37)</f>
        <v>6659</v>
      </c>
      <c r="O38" s="85">
        <f>SUM(C38:N38)</f>
        <v>50408</v>
      </c>
      <c r="P38" s="86">
        <f>O38/$O$10</f>
        <v>0.150937607358823</v>
      </c>
    </row>
    <row r="39" ht="18" customHeight="1">
      <c r="A39" s="34"/>
      <c r="B39" s="41"/>
      <c r="C39" s="59"/>
      <c r="D39" s="59"/>
      <c r="E39" s="59"/>
      <c r="F39" s="59"/>
      <c r="G39" s="60"/>
      <c r="H39" s="61"/>
      <c r="I39" s="59"/>
      <c r="J39" s="59"/>
      <c r="K39" s="59"/>
      <c r="L39" s="59"/>
      <c r="M39" s="59"/>
      <c r="N39" s="62"/>
      <c r="O39" s="63"/>
      <c r="P39" s="80"/>
    </row>
    <row r="40" ht="18" customHeight="1">
      <c r="A40" s="34"/>
      <c r="B40" t="s" s="58">
        <v>63</v>
      </c>
      <c r="C40" s="59">
        <f t="shared" si="280" ref="C40:N40">250</f>
        <v>250</v>
      </c>
      <c r="D40" s="59">
        <f t="shared" si="280"/>
        <v>250</v>
      </c>
      <c r="E40" s="59">
        <f t="shared" si="280"/>
        <v>250</v>
      </c>
      <c r="F40" s="59">
        <f t="shared" si="280"/>
        <v>250</v>
      </c>
      <c r="G40" s="60">
        <f t="shared" si="280"/>
        <v>250</v>
      </c>
      <c r="H40" s="61">
        <f t="shared" si="280"/>
        <v>250</v>
      </c>
      <c r="I40" s="59">
        <f t="shared" si="280"/>
        <v>250</v>
      </c>
      <c r="J40" s="59">
        <f t="shared" si="280"/>
        <v>250</v>
      </c>
      <c r="K40" s="59">
        <f t="shared" si="280"/>
        <v>250</v>
      </c>
      <c r="L40" s="59">
        <f t="shared" si="280"/>
        <v>250</v>
      </c>
      <c r="M40" s="59">
        <f t="shared" si="280"/>
        <v>250</v>
      </c>
      <c r="N40" s="62">
        <f t="shared" si="280"/>
        <v>250</v>
      </c>
      <c r="O40" s="63">
        <f>SUM(C40:N40)</f>
        <v>3000</v>
      </c>
      <c r="P40" s="80">
        <f>O40/$O$10</f>
        <v>0.008982955524449891</v>
      </c>
    </row>
    <row r="41" ht="18" customHeight="1">
      <c r="A41" s="34"/>
      <c r="B41" t="s" s="58">
        <v>65</v>
      </c>
      <c r="C41" s="59">
        <f t="shared" si="294" ref="C41:N41">150</f>
        <v>150</v>
      </c>
      <c r="D41" s="59">
        <f t="shared" si="294"/>
        <v>150</v>
      </c>
      <c r="E41" s="59">
        <f t="shared" si="294"/>
        <v>150</v>
      </c>
      <c r="F41" s="59">
        <f t="shared" si="294"/>
        <v>150</v>
      </c>
      <c r="G41" s="60">
        <f t="shared" si="294"/>
        <v>150</v>
      </c>
      <c r="H41" s="61">
        <f t="shared" si="294"/>
        <v>150</v>
      </c>
      <c r="I41" s="59">
        <f t="shared" si="294"/>
        <v>150</v>
      </c>
      <c r="J41" s="59">
        <f t="shared" si="294"/>
        <v>150</v>
      </c>
      <c r="K41" s="59">
        <f t="shared" si="294"/>
        <v>150</v>
      </c>
      <c r="L41" s="59">
        <f t="shared" si="294"/>
        <v>150</v>
      </c>
      <c r="M41" s="59">
        <f t="shared" si="294"/>
        <v>150</v>
      </c>
      <c r="N41" s="62">
        <f t="shared" si="294"/>
        <v>150</v>
      </c>
      <c r="O41" s="63">
        <f>SUM(C41:N41)</f>
        <v>1800</v>
      </c>
      <c r="P41" s="80">
        <f>O41/$O$10</f>
        <v>0.00538977331466993</v>
      </c>
    </row>
    <row r="42" ht="18" customHeight="1">
      <c r="A42" s="34"/>
      <c r="B42" t="s" s="58">
        <v>66</v>
      </c>
      <c r="C42" s="59">
        <v>500</v>
      </c>
      <c r="D42" s="59">
        <v>500</v>
      </c>
      <c r="E42" s="59">
        <v>500</v>
      </c>
      <c r="F42" s="59">
        <v>500</v>
      </c>
      <c r="G42" s="60">
        <v>500</v>
      </c>
      <c r="H42" s="61">
        <v>500</v>
      </c>
      <c r="I42" s="59">
        <v>500</v>
      </c>
      <c r="J42" s="59">
        <v>500</v>
      </c>
      <c r="K42" s="59">
        <v>500</v>
      </c>
      <c r="L42" s="59">
        <v>500</v>
      </c>
      <c r="M42" s="59">
        <v>500</v>
      </c>
      <c r="N42" s="62">
        <v>500</v>
      </c>
      <c r="O42" s="63">
        <f>SUM(C42:N42)</f>
        <v>6000</v>
      </c>
      <c r="P42" s="80">
        <f>O42/$O$10</f>
        <v>0.0179659110488998</v>
      </c>
    </row>
    <row r="43" ht="18" customHeight="1">
      <c r="A43" s="34"/>
      <c r="B43" t="s" s="58">
        <v>67</v>
      </c>
      <c r="C43" s="59">
        <v>150</v>
      </c>
      <c r="D43" s="59">
        <v>150</v>
      </c>
      <c r="E43" s="59">
        <v>150</v>
      </c>
      <c r="F43" s="59">
        <v>150</v>
      </c>
      <c r="G43" s="60">
        <v>150</v>
      </c>
      <c r="H43" s="61">
        <v>150</v>
      </c>
      <c r="I43" s="59">
        <v>150</v>
      </c>
      <c r="J43" s="59">
        <v>150</v>
      </c>
      <c r="K43" s="59">
        <v>150</v>
      </c>
      <c r="L43" s="59">
        <v>150</v>
      </c>
      <c r="M43" s="59">
        <v>150</v>
      </c>
      <c r="N43" s="62">
        <v>150</v>
      </c>
      <c r="O43" s="63">
        <f>SUM(C43:N43)</f>
        <v>1800</v>
      </c>
      <c r="P43" s="80">
        <f>O43/$O$10</f>
        <v>0.00538977331466993</v>
      </c>
    </row>
    <row r="44" ht="18" customHeight="1">
      <c r="A44" s="34"/>
      <c r="B44" t="s" s="58">
        <v>103</v>
      </c>
      <c r="C44" s="59">
        <v>50</v>
      </c>
      <c r="D44" s="59">
        <v>50</v>
      </c>
      <c r="E44" s="59">
        <v>50</v>
      </c>
      <c r="F44" s="59">
        <v>50</v>
      </c>
      <c r="G44" s="60">
        <v>50</v>
      </c>
      <c r="H44" s="61">
        <v>50</v>
      </c>
      <c r="I44" s="59">
        <v>50</v>
      </c>
      <c r="J44" s="59">
        <v>50</v>
      </c>
      <c r="K44" s="59">
        <v>50</v>
      </c>
      <c r="L44" s="59">
        <v>50</v>
      </c>
      <c r="M44" s="59">
        <v>50</v>
      </c>
      <c r="N44" s="62">
        <v>50</v>
      </c>
      <c r="O44" s="63">
        <f>SUM(C44:N44)</f>
        <v>600</v>
      </c>
      <c r="P44" s="80">
        <f>O44/$O$10</f>
        <v>0.00179659110488998</v>
      </c>
    </row>
    <row r="45" ht="18" customHeight="1">
      <c r="A45" s="34"/>
      <c r="B45" t="s" s="58">
        <v>70</v>
      </c>
      <c r="C45" s="59">
        <v>59</v>
      </c>
      <c r="D45" s="59">
        <v>59</v>
      </c>
      <c r="E45" s="59">
        <v>59</v>
      </c>
      <c r="F45" s="59">
        <v>59</v>
      </c>
      <c r="G45" s="60">
        <v>59</v>
      </c>
      <c r="H45" s="61">
        <v>59</v>
      </c>
      <c r="I45" s="59">
        <v>59</v>
      </c>
      <c r="J45" s="59">
        <v>59</v>
      </c>
      <c r="K45" s="59">
        <v>59</v>
      </c>
      <c r="L45" s="59">
        <v>59</v>
      </c>
      <c r="M45" s="59">
        <v>59</v>
      </c>
      <c r="N45" s="62">
        <v>59</v>
      </c>
      <c r="O45" s="63">
        <f>SUM(C45:N45)</f>
        <v>708</v>
      </c>
      <c r="P45" s="80">
        <f>O45/$O$10</f>
        <v>0.00211997750377017</v>
      </c>
    </row>
    <row r="46" ht="18" customHeight="1">
      <c r="A46" s="34"/>
      <c r="B46" t="s" s="82">
        <v>71</v>
      </c>
      <c r="C46" s="83">
        <f>SUM(C39:C45)</f>
        <v>1159</v>
      </c>
      <c r="D46" s="83">
        <f>SUM(D39:D45)</f>
        <v>1159</v>
      </c>
      <c r="E46" s="83">
        <f>SUM(E39:E45)</f>
        <v>1159</v>
      </c>
      <c r="F46" s="83">
        <f>SUM(F39:F45)</f>
        <v>1159</v>
      </c>
      <c r="G46" s="90">
        <f>SUM(G39:G45)</f>
        <v>1159</v>
      </c>
      <c r="H46" s="91">
        <f>SUM(H39:H45)</f>
        <v>1159</v>
      </c>
      <c r="I46" s="83">
        <f>SUM(I39:I45)</f>
        <v>1159</v>
      </c>
      <c r="J46" s="83">
        <f>SUM(J39:J45)</f>
        <v>1159</v>
      </c>
      <c r="K46" s="83">
        <f>SUM(K39:K45)</f>
        <v>1159</v>
      </c>
      <c r="L46" s="83">
        <f>SUM(L39:L45)</f>
        <v>1159</v>
      </c>
      <c r="M46" s="83">
        <f>SUM(M39:M45)</f>
        <v>1159</v>
      </c>
      <c r="N46" s="84">
        <f>SUM(N39:N45)</f>
        <v>1159</v>
      </c>
      <c r="O46" s="85">
        <f>SUM(C46:N46)</f>
        <v>13908</v>
      </c>
      <c r="P46" s="86">
        <f>O46/$O$10</f>
        <v>0.0416449818113497</v>
      </c>
    </row>
    <row r="47" ht="18" customHeight="1">
      <c r="A47" s="34"/>
      <c r="B47" s="41"/>
      <c r="C47" s="59"/>
      <c r="D47" s="59"/>
      <c r="E47" s="59"/>
      <c r="F47" s="59"/>
      <c r="G47" s="60"/>
      <c r="H47" s="61"/>
      <c r="I47" s="59"/>
      <c r="J47" s="59"/>
      <c r="K47" s="59"/>
      <c r="L47" s="59"/>
      <c r="M47" s="59"/>
      <c r="N47" s="62"/>
      <c r="O47" s="63"/>
      <c r="P47" s="80"/>
    </row>
    <row r="48" ht="18" customHeight="1">
      <c r="A48" s="34"/>
      <c r="B48" t="s" s="82">
        <v>104</v>
      </c>
      <c r="C48" s="83">
        <f>SUM(C30+C38+C46)</f>
        <v>13768.76</v>
      </c>
      <c r="D48" s="83">
        <f>SUM(D30+D38+D46)</f>
        <v>17268.76</v>
      </c>
      <c r="E48" s="83">
        <f>SUM(E30+E38+E46)</f>
        <v>14518.76</v>
      </c>
      <c r="F48" s="83">
        <f>SUM(F30+F38+F46)</f>
        <v>14518.76</v>
      </c>
      <c r="G48" s="90">
        <f>SUM(G30+G38+G46)</f>
        <v>13768.76</v>
      </c>
      <c r="H48" s="91">
        <f>SUM(H30+H38+H46)</f>
        <v>15018.76</v>
      </c>
      <c r="I48" s="83">
        <f>SUM(I30+I38+I46)</f>
        <v>18518.76</v>
      </c>
      <c r="J48" s="83">
        <f>SUM(J30+J38+J46)</f>
        <v>14268.76</v>
      </c>
      <c r="K48" s="83">
        <f>SUM(K30+K38+K46)</f>
        <v>15018.76</v>
      </c>
      <c r="L48" s="83">
        <f>SUM(L30+L38+L46)</f>
        <v>15018.76</v>
      </c>
      <c r="M48" s="83">
        <f>SUM(M30+M38+M46)</f>
        <v>14268.76</v>
      </c>
      <c r="N48" s="84">
        <f>SUM(N30+N38+N46)</f>
        <v>17768.76</v>
      </c>
      <c r="O48" s="85">
        <f>SUM(C48:N48)</f>
        <v>183725.12</v>
      </c>
      <c r="P48" s="86">
        <f>O48/$O$10</f>
        <v>0.550131527228073</v>
      </c>
    </row>
    <row r="49" ht="9" customHeight="1" hidden="1">
      <c r="A49" s="105"/>
      <c r="B49" s="2"/>
      <c r="C49" s="106"/>
      <c r="D49" s="106"/>
      <c r="E49" s="106"/>
      <c r="F49" s="106"/>
      <c r="G49" s="107"/>
      <c r="H49" s="108"/>
      <c r="I49" s="106"/>
      <c r="J49" s="106"/>
      <c r="K49" s="106"/>
      <c r="L49" s="106"/>
      <c r="M49" s="106"/>
      <c r="N49" s="109"/>
      <c r="O49" s="110"/>
      <c r="P49" s="111"/>
    </row>
    <row r="50" ht="9" customHeight="1" hidden="1">
      <c r="A50" s="105"/>
      <c r="B50" t="s" s="112">
        <v>73</v>
      </c>
      <c r="C50" s="113"/>
      <c r="D50" s="113"/>
      <c r="E50" s="113"/>
      <c r="F50" s="113"/>
      <c r="G50" s="114"/>
      <c r="H50" s="115"/>
      <c r="I50" s="113"/>
      <c r="J50" s="113"/>
      <c r="K50" s="113"/>
      <c r="L50" s="113"/>
      <c r="M50" s="113"/>
      <c r="N50" s="116"/>
      <c r="O50" s="117">
        <f>SUM(C50:N50)</f>
        <v>0</v>
      </c>
      <c r="P50" s="118">
        <f>O50/$O$10</f>
        <v>0</v>
      </c>
    </row>
    <row r="51" ht="18" customHeight="1">
      <c r="A51" s="34"/>
      <c r="B51" s="41"/>
      <c r="C51" s="59"/>
      <c r="D51" s="59"/>
      <c r="E51" s="59"/>
      <c r="F51" s="59"/>
      <c r="G51" s="60"/>
      <c r="H51" s="61"/>
      <c r="I51" s="59"/>
      <c r="J51" s="59"/>
      <c r="K51" s="59"/>
      <c r="L51" s="59"/>
      <c r="M51" s="59"/>
      <c r="N51" s="62"/>
      <c r="O51" s="63"/>
      <c r="P51" s="80"/>
    </row>
    <row r="52" ht="18" customHeight="1">
      <c r="A52" s="34"/>
      <c r="B52" t="s" s="121">
        <v>74</v>
      </c>
      <c r="C52" s="122">
        <f>C23-C48</f>
        <v>-2911.144</v>
      </c>
      <c r="D52" s="122">
        <f>D23-D48</f>
        <v>-6276.98504</v>
      </c>
      <c r="E52" s="122">
        <f>E23-E48</f>
        <v>-3204.8323824</v>
      </c>
      <c r="F52" s="122">
        <f>F23-F48</f>
        <v>11136.293927456</v>
      </c>
      <c r="G52" s="123">
        <f>G23-G48</f>
        <v>-1752.5832518726</v>
      </c>
      <c r="H52" s="124">
        <f>H23-H48</f>
        <v>-120.3976471591</v>
      </c>
      <c r="I52" s="122">
        <f>I23-I48</f>
        <v>10783.9607266234</v>
      </c>
      <c r="J52" s="122">
        <f>J23-J48</f>
        <v>1461.6456095218</v>
      </c>
      <c r="K52" s="122">
        <f>K23-K48</f>
        <v>1163.8542402261</v>
      </c>
      <c r="L52" s="122">
        <f>L23-L48</f>
        <v>18716.8267483602</v>
      </c>
      <c r="M52" s="122">
        <f>M23-M48</f>
        <v>5971.8451369424</v>
      </c>
      <c r="N52" s="125">
        <f>N23-N48</f>
        <v>3005.2317889627</v>
      </c>
      <c r="O52" s="126">
        <f>SUM(C52:N52)</f>
        <v>37973.7158566609</v>
      </c>
      <c r="P52" s="127">
        <f>O52/$O$10</f>
        <v>0.113705400212827</v>
      </c>
    </row>
    <row r="53" ht="18" customHeight="1">
      <c r="A53" s="34"/>
      <c r="B53" s="41"/>
      <c r="C53" s="59"/>
      <c r="D53" s="59"/>
      <c r="E53" s="59"/>
      <c r="F53" s="59"/>
      <c r="G53" s="60"/>
      <c r="H53" s="61"/>
      <c r="I53" s="59"/>
      <c r="J53" s="59"/>
      <c r="K53" s="59"/>
      <c r="L53" s="59"/>
      <c r="M53" s="59"/>
      <c r="N53" s="62"/>
      <c r="O53" s="63"/>
      <c r="P53" s="80"/>
    </row>
    <row r="54" ht="18" customHeight="1">
      <c r="A54" s="34"/>
      <c r="B54" t="s" s="58">
        <v>105</v>
      </c>
      <c r="C54" s="59">
        <v>462</v>
      </c>
      <c r="D54" s="59">
        <v>462</v>
      </c>
      <c r="E54" s="59">
        <v>462</v>
      </c>
      <c r="F54" s="59">
        <v>462</v>
      </c>
      <c r="G54" s="60">
        <v>462</v>
      </c>
      <c r="H54" s="61">
        <v>462</v>
      </c>
      <c r="I54" s="59">
        <v>462</v>
      </c>
      <c r="J54" s="59">
        <v>462</v>
      </c>
      <c r="K54" s="59">
        <v>462</v>
      </c>
      <c r="L54" s="59">
        <v>462</v>
      </c>
      <c r="M54" s="59">
        <v>462</v>
      </c>
      <c r="N54" s="62">
        <v>462</v>
      </c>
      <c r="O54" s="63">
        <f>SUM(C54:N54)</f>
        <v>5544</v>
      </c>
      <c r="P54" s="80">
        <f>O54/$O$10</f>
        <v>0.0166005018091834</v>
      </c>
    </row>
    <row r="55" ht="18" customHeight="1">
      <c r="A55" s="34"/>
      <c r="B55" t="s" s="82">
        <v>106</v>
      </c>
      <c r="C55" s="83">
        <f>SUM(C53:C54)</f>
        <v>462</v>
      </c>
      <c r="D55" s="83">
        <f>SUM(D53:D54)</f>
        <v>462</v>
      </c>
      <c r="E55" s="83">
        <f>SUM(E53:E54)</f>
        <v>462</v>
      </c>
      <c r="F55" s="83">
        <f>SUM(F53:F54)</f>
        <v>462</v>
      </c>
      <c r="G55" s="90">
        <f>SUM(G53:G54)</f>
        <v>462</v>
      </c>
      <c r="H55" s="91">
        <f>SUM(H53:H54)</f>
        <v>462</v>
      </c>
      <c r="I55" s="83">
        <f>SUM(I53:I54)</f>
        <v>462</v>
      </c>
      <c r="J55" s="83">
        <f>SUM(J53:J54)</f>
        <v>462</v>
      </c>
      <c r="K55" s="83">
        <f>SUM(K53:K54)</f>
        <v>462</v>
      </c>
      <c r="L55" s="83">
        <f>SUM(L53:L54)</f>
        <v>462</v>
      </c>
      <c r="M55" s="83">
        <f>SUM(M53:M54)</f>
        <v>462</v>
      </c>
      <c r="N55" s="84">
        <f>SUM(N53:N54)</f>
        <v>462</v>
      </c>
      <c r="O55" s="85">
        <f>SUM(C55:N55)</f>
        <v>5544</v>
      </c>
      <c r="P55" s="86">
        <f>O55/$O$10</f>
        <v>0.0166005018091834</v>
      </c>
    </row>
    <row r="56" ht="18" customHeight="1">
      <c r="A56" s="34"/>
      <c r="B56" s="41"/>
      <c r="C56" s="59"/>
      <c r="D56" s="59"/>
      <c r="E56" s="59"/>
      <c r="F56" s="59"/>
      <c r="G56" s="60"/>
      <c r="H56" s="61"/>
      <c r="I56" s="120"/>
      <c r="J56" s="59"/>
      <c r="K56" s="59"/>
      <c r="L56" s="59"/>
      <c r="M56" s="59"/>
      <c r="N56" s="62"/>
      <c r="O56" s="63"/>
      <c r="P56" s="80"/>
    </row>
    <row r="57" ht="18" customHeight="1">
      <c r="A57" s="34"/>
      <c r="B57" t="s" s="121">
        <v>77</v>
      </c>
      <c r="C57" s="122">
        <f>C52-C55</f>
        <v>-3373.144</v>
      </c>
      <c r="D57" s="122">
        <f>D52-D55</f>
        <v>-6738.98504</v>
      </c>
      <c r="E57" s="122">
        <f>E52-E55</f>
        <v>-3666.8323824</v>
      </c>
      <c r="F57" s="122">
        <f>F52-F55</f>
        <v>10674.293927456</v>
      </c>
      <c r="G57" s="123">
        <f>G52-G55</f>
        <v>-2214.5832518726</v>
      </c>
      <c r="H57" s="124">
        <f>H52-H55</f>
        <v>-582.3976471591</v>
      </c>
      <c r="I57" s="122">
        <f>I52-I55</f>
        <v>10321.9607266234</v>
      </c>
      <c r="J57" s="122">
        <f>J52-J55</f>
        <v>999.6456095218</v>
      </c>
      <c r="K57" s="122">
        <f>K52-K55</f>
        <v>701.8542402261</v>
      </c>
      <c r="L57" s="122">
        <f>L52-L55</f>
        <v>18254.8267483602</v>
      </c>
      <c r="M57" s="122">
        <f>M52-M55</f>
        <v>5509.8451369424</v>
      </c>
      <c r="N57" s="125">
        <f>N52-N55</f>
        <v>2543.2317889627</v>
      </c>
      <c r="O57" s="126">
        <f>SUM(C57:N57)</f>
        <v>32429.7158566609</v>
      </c>
      <c r="P57" s="127">
        <f>O57/$O$10</f>
        <v>0.0971048984036441</v>
      </c>
    </row>
    <row r="58" ht="18" customHeight="1">
      <c r="A58" s="34"/>
      <c r="B58" s="41"/>
      <c r="C58" s="59"/>
      <c r="D58" s="59"/>
      <c r="E58" s="59"/>
      <c r="F58" s="59"/>
      <c r="G58" s="60"/>
      <c r="H58" s="61"/>
      <c r="I58" s="120"/>
      <c r="J58" s="59"/>
      <c r="K58" s="59"/>
      <c r="L58" s="59"/>
      <c r="M58" s="59"/>
      <c r="N58" s="62"/>
      <c r="O58" s="63"/>
      <c r="P58" s="80"/>
    </row>
    <row r="59" ht="18" customHeight="1">
      <c r="A59" s="34"/>
      <c r="B59" t="s" s="82">
        <v>107</v>
      </c>
      <c r="C59" s="83"/>
      <c r="D59" s="83"/>
      <c r="E59" s="83"/>
      <c r="F59" s="83"/>
      <c r="G59" s="90"/>
      <c r="H59" s="91"/>
      <c r="I59" s="128"/>
      <c r="J59" s="83"/>
      <c r="K59" s="83"/>
      <c r="L59" s="83"/>
      <c r="M59" s="83"/>
      <c r="N59" s="84"/>
      <c r="O59" s="85">
        <f>SUM(C59:N59)</f>
        <v>0</v>
      </c>
      <c r="P59" s="86">
        <f>O59/$O$10</f>
        <v>0</v>
      </c>
    </row>
    <row r="60" ht="18" customHeight="1">
      <c r="A60" s="34"/>
      <c r="B60" s="41"/>
      <c r="C60" s="59"/>
      <c r="D60" s="59"/>
      <c r="E60" s="59"/>
      <c r="F60" s="59"/>
      <c r="G60" s="60"/>
      <c r="H60" s="61"/>
      <c r="I60" s="120"/>
      <c r="J60" s="59"/>
      <c r="K60" s="59"/>
      <c r="L60" s="59"/>
      <c r="M60" s="59"/>
      <c r="N60" s="62"/>
      <c r="O60" s="63"/>
      <c r="P60" s="80"/>
    </row>
    <row r="61" ht="18" customHeight="1">
      <c r="A61" s="34"/>
      <c r="B61" t="s" s="121">
        <v>108</v>
      </c>
      <c r="C61" s="122">
        <f>C57-C59</f>
        <v>-3373.144</v>
      </c>
      <c r="D61" s="122">
        <f>D57-D59</f>
        <v>-6738.98504</v>
      </c>
      <c r="E61" s="122">
        <f>E57-E59</f>
        <v>-3666.8323824</v>
      </c>
      <c r="F61" s="122">
        <f>F57-F59</f>
        <v>10674.293927456</v>
      </c>
      <c r="G61" s="123">
        <f>G57-G59</f>
        <v>-2214.5832518726</v>
      </c>
      <c r="H61" s="124">
        <f>H57-H59</f>
        <v>-582.3976471591</v>
      </c>
      <c r="I61" s="122">
        <f>I57-I59</f>
        <v>10321.9607266234</v>
      </c>
      <c r="J61" s="122">
        <f>J57-J59</f>
        <v>999.6456095218</v>
      </c>
      <c r="K61" s="122">
        <f>K57-K59</f>
        <v>701.8542402261</v>
      </c>
      <c r="L61" s="122">
        <f>L57-L59</f>
        <v>18254.8267483602</v>
      </c>
      <c r="M61" s="122">
        <f>M57-M59</f>
        <v>5509.8451369424</v>
      </c>
      <c r="N61" s="125">
        <f>N57-N59</f>
        <v>2543.2317889627</v>
      </c>
      <c r="O61" s="126">
        <f>SUM(C61:N61)</f>
        <v>32429.7158566609</v>
      </c>
      <c r="P61" s="127">
        <f>O61/$O$10</f>
        <v>0.0971048984036441</v>
      </c>
    </row>
    <row r="62" ht="18" customHeight="1">
      <c r="A62" s="34"/>
      <c r="B62" s="41"/>
      <c r="C62" s="59"/>
      <c r="D62" s="59"/>
      <c r="E62" s="59"/>
      <c r="F62" s="59"/>
      <c r="G62" s="60"/>
      <c r="H62" s="61"/>
      <c r="I62" s="59"/>
      <c r="J62" s="59"/>
      <c r="K62" s="59"/>
      <c r="L62" s="59"/>
      <c r="M62" s="59"/>
      <c r="N62" s="62"/>
      <c r="O62" s="63"/>
      <c r="P62" s="80"/>
    </row>
    <row r="63" ht="18" customHeight="1">
      <c r="A63" s="34"/>
      <c r="B63" t="s" s="82">
        <v>80</v>
      </c>
      <c r="C63" s="83"/>
      <c r="D63" s="83"/>
      <c r="E63" s="83"/>
      <c r="F63" s="83"/>
      <c r="G63" s="90"/>
      <c r="H63" s="91"/>
      <c r="I63" s="83"/>
      <c r="J63" s="83"/>
      <c r="K63" s="83"/>
      <c r="L63" s="83"/>
      <c r="M63" s="83"/>
      <c r="N63" s="84"/>
      <c r="O63" s="85"/>
      <c r="P63" s="86">
        <f>25%</f>
        <v>0.25</v>
      </c>
    </row>
    <row r="64" ht="18" customHeight="1">
      <c r="A64" s="34"/>
      <c r="B64" s="41"/>
      <c r="C64" s="59"/>
      <c r="D64" s="59"/>
      <c r="E64" s="59"/>
      <c r="F64" s="59"/>
      <c r="G64" s="60"/>
      <c r="H64" s="61"/>
      <c r="I64" s="59"/>
      <c r="J64" s="59"/>
      <c r="K64" s="59"/>
      <c r="L64" s="59"/>
      <c r="M64" s="59"/>
      <c r="N64" s="62"/>
      <c r="O64" s="63"/>
      <c r="P64" s="80"/>
    </row>
    <row r="65" ht="15" customHeight="1">
      <c r="A65" s="34"/>
      <c r="B65" t="s" s="73">
        <v>109</v>
      </c>
      <c r="C65" s="122">
        <f>C61-C63</f>
        <v>-3373.144</v>
      </c>
      <c r="D65" s="122">
        <f>D61-D63</f>
        <v>-6738.98504</v>
      </c>
      <c r="E65" s="122">
        <f>E61-E63</f>
        <v>-3666.8323824</v>
      </c>
      <c r="F65" s="122">
        <f>F61-F63</f>
        <v>10674.293927456</v>
      </c>
      <c r="G65" s="123">
        <f>G61-G63</f>
        <v>-2214.5832518726</v>
      </c>
      <c r="H65" s="124">
        <f>H61-H63</f>
        <v>-582.3976471591</v>
      </c>
      <c r="I65" s="122">
        <f>I61-I63</f>
        <v>10321.9607266234</v>
      </c>
      <c r="J65" s="122">
        <f>J61-J63</f>
        <v>999.6456095218</v>
      </c>
      <c r="K65" s="122">
        <f>K61-K63</f>
        <v>701.8542402261</v>
      </c>
      <c r="L65" s="122">
        <f>L61-L63</f>
        <v>18254.8267483602</v>
      </c>
      <c r="M65" s="122">
        <f>M61-M63</f>
        <v>5509.8451369424</v>
      </c>
      <c r="N65" s="125">
        <f>N61-N63</f>
        <v>2543.2317889627</v>
      </c>
      <c r="O65" s="130">
        <f>O61*0.75</f>
        <v>24322.2868924957</v>
      </c>
      <c r="P65" s="131">
        <f>O65/$O$10</f>
        <v>0.0728286738027331</v>
      </c>
    </row>
    <row r="66" ht="18.5" customHeight="1">
      <c r="A66" s="34"/>
      <c r="B66" s="41"/>
      <c r="C66" s="59"/>
      <c r="D66" s="59"/>
      <c r="E66" s="59"/>
      <c r="F66" s="59"/>
      <c r="G66" s="59"/>
      <c r="H66" s="59"/>
      <c r="I66" s="59"/>
      <c r="J66" s="59"/>
      <c r="K66" s="59"/>
      <c r="L66" s="59"/>
      <c r="M66" s="59"/>
      <c r="N66" s="59"/>
      <c r="O66" s="132"/>
      <c r="P66" s="148"/>
    </row>
    <row r="67" ht="18" customHeight="1">
      <c r="A67" s="133"/>
      <c r="B67" s="134"/>
      <c r="C67" s="135"/>
      <c r="D67" s="135"/>
      <c r="E67" s="135"/>
      <c r="F67" s="135"/>
      <c r="G67" s="135"/>
      <c r="H67" s="135"/>
      <c r="I67" s="135"/>
      <c r="J67" s="135"/>
      <c r="K67" s="135"/>
      <c r="L67" s="135"/>
      <c r="M67" s="135"/>
      <c r="N67" s="135"/>
      <c r="O67" s="134"/>
      <c r="P67" s="137"/>
    </row>
  </sheetData>
  <pageMargins left="0.7" right="0.7" top="0.75" bottom="0.75" header="0.3" footer="0.3"/>
  <pageSetup firstPageNumber="1" fitToHeight="1" fitToWidth="1" scale="100" useFirstPageNumber="0" orientation="portrait" pageOrder="downThenOver"/>
  <headerFooter>
    <oddFooter>&amp;C&amp;"Helvetica Neue,Regular"&amp;12&amp;K000000&amp;P</oddFooter>
  </headerFooter>
</worksheet>
</file>

<file path=xl/worksheets/sheet4.xml><?xml version="1.0" encoding="utf-8"?>
<worksheet xmlns:r="http://schemas.openxmlformats.org/officeDocument/2006/relationships" xmlns="http://schemas.openxmlformats.org/spreadsheetml/2006/main">
  <dimension ref="A1:P70"/>
  <sheetViews>
    <sheetView workbookViewId="0" showGridLines="0" defaultGridColor="1"/>
  </sheetViews>
  <sheetFormatPr defaultColWidth="8.83333" defaultRowHeight="15.4" customHeight="1" outlineLevelRow="0" outlineLevelCol="0"/>
  <cols>
    <col min="1" max="1" width="1.67188" style="149" customWidth="1"/>
    <col min="2" max="2" width="43.6719" style="149" customWidth="1"/>
    <col min="3" max="14" width="8.85156" style="149" customWidth="1"/>
    <col min="15" max="15" width="8.5" style="149" customWidth="1"/>
    <col min="16" max="16" width="11" style="149" customWidth="1"/>
    <col min="17" max="16384" width="8.85156" style="149" customWidth="1"/>
  </cols>
  <sheetData>
    <row r="1" ht="18" customHeight="1">
      <c r="A1" s="28"/>
      <c r="B1" t="s" s="29">
        <v>110</v>
      </c>
      <c r="C1" s="139">
        <v>7724.2</v>
      </c>
      <c r="D1" s="139">
        <f>C1*1.06</f>
        <v>8187.652</v>
      </c>
      <c r="E1" s="139">
        <f>D1*1.06</f>
        <v>8678.911120000001</v>
      </c>
      <c r="F1" s="139">
        <f>E1*1.06</f>
        <v>9199.645787199999</v>
      </c>
      <c r="G1" s="139">
        <f>F1*1.06</f>
        <v>9751.624534432</v>
      </c>
      <c r="H1" s="139">
        <f>G1*1.06</f>
        <v>10336.7220064979</v>
      </c>
      <c r="I1" s="139">
        <f>H1*1.06</f>
        <v>10956.9253268878</v>
      </c>
      <c r="J1" s="139">
        <f>I1*1.06</f>
        <v>11614.3408465011</v>
      </c>
      <c r="K1" s="139">
        <f>J1*1.06</f>
        <v>12311.2012972912</v>
      </c>
      <c r="L1" s="139">
        <f>K1*1.06</f>
        <v>13049.8733751287</v>
      </c>
      <c r="M1" s="139">
        <f>L1*1.06</f>
        <v>13832.8657776364</v>
      </c>
      <c r="N1" s="139">
        <f>M1*1.06</f>
        <v>14662.8377242946</v>
      </c>
      <c r="O1" s="139">
        <f>SUM(A1:N1)</f>
        <v>130306.79979587</v>
      </c>
      <c r="P1" s="140"/>
    </row>
    <row r="2" ht="18" customHeight="1">
      <c r="A2" s="34"/>
      <c r="B2" t="s" s="35">
        <v>111</v>
      </c>
      <c r="C2" s="141">
        <v>715</v>
      </c>
      <c r="D2" s="141">
        <v>715</v>
      </c>
      <c r="E2" s="141">
        <v>715</v>
      </c>
      <c r="F2" s="141">
        <v>715</v>
      </c>
      <c r="G2" s="141">
        <v>715</v>
      </c>
      <c r="H2" s="141">
        <v>715</v>
      </c>
      <c r="I2" s="141">
        <v>715</v>
      </c>
      <c r="J2" s="141">
        <v>715</v>
      </c>
      <c r="K2" s="141">
        <v>715</v>
      </c>
      <c r="L2" s="141">
        <v>715</v>
      </c>
      <c r="M2" s="141">
        <v>715</v>
      </c>
      <c r="N2" s="141">
        <v>715</v>
      </c>
      <c r="O2" s="141">
        <f>SUM(C2,D2,E2,F2,G2,H2,I2,J2,L2,K2,M2,N2)</f>
        <v>8580</v>
      </c>
      <c r="P2" s="142"/>
    </row>
    <row r="3" ht="18" customHeight="1">
      <c r="A3" s="34"/>
      <c r="B3" s="41"/>
      <c r="C3" s="41"/>
      <c r="D3" s="41"/>
      <c r="E3" s="41"/>
      <c r="F3" s="41"/>
      <c r="G3" s="41"/>
      <c r="H3" s="41"/>
      <c r="I3" s="41"/>
      <c r="J3" s="41"/>
      <c r="K3" s="41"/>
      <c r="L3" s="41"/>
      <c r="M3" s="41"/>
      <c r="N3" s="41"/>
      <c r="O3" s="41"/>
      <c r="P3" s="40"/>
    </row>
    <row r="4" ht="24" customHeight="1">
      <c r="A4" s="34"/>
      <c r="B4" t="s" s="42">
        <v>8</v>
      </c>
      <c r="C4" s="43">
        <v>2024</v>
      </c>
      <c r="D4" s="44"/>
      <c r="E4" s="45"/>
      <c r="F4" s="45"/>
      <c r="G4" t="s" s="150">
        <v>112</v>
      </c>
      <c r="H4" t="s" s="151">
        <v>113</v>
      </c>
      <c r="I4" s="45"/>
      <c r="J4" s="45"/>
      <c r="K4" s="45"/>
      <c r="L4" s="45"/>
      <c r="M4" s="45"/>
      <c r="N4" s="45"/>
      <c r="O4" s="48"/>
      <c r="P4" s="144"/>
    </row>
    <row r="5" ht="23.4" customHeight="1">
      <c r="A5" s="34"/>
      <c r="B5" s="50"/>
      <c r="C5" t="s" s="51">
        <v>82</v>
      </c>
      <c r="D5" t="s" s="51">
        <v>83</v>
      </c>
      <c r="E5" t="s" s="51">
        <v>84</v>
      </c>
      <c r="F5" t="s" s="51">
        <v>85</v>
      </c>
      <c r="G5" t="s" s="145">
        <v>86</v>
      </c>
      <c r="H5" t="s" s="146">
        <v>87</v>
      </c>
      <c r="I5" t="s" s="51">
        <v>88</v>
      </c>
      <c r="J5" t="s" s="51">
        <v>89</v>
      </c>
      <c r="K5" t="s" s="51">
        <v>90</v>
      </c>
      <c r="L5" t="s" s="51">
        <v>91</v>
      </c>
      <c r="M5" t="s" s="51">
        <v>92</v>
      </c>
      <c r="N5" t="s" s="52">
        <v>93</v>
      </c>
      <c r="O5" t="s" s="53">
        <v>22</v>
      </c>
      <c r="P5" t="s" s="54">
        <v>23</v>
      </c>
    </row>
    <row r="6" ht="18" customHeight="1">
      <c r="A6" s="34"/>
      <c r="B6" t="s" s="58">
        <v>114</v>
      </c>
      <c r="C6" s="62">
        <v>6370</v>
      </c>
      <c r="D6" s="63">
        <f>C6*1.12</f>
        <v>7134.4</v>
      </c>
      <c r="E6" s="59">
        <f>D6*1.12</f>
        <v>7990.528</v>
      </c>
      <c r="F6" s="59">
        <f>E6*1.12</f>
        <v>8949.39136</v>
      </c>
      <c r="G6" s="60">
        <f>F6*1.12</f>
        <v>10023.3183232</v>
      </c>
      <c r="H6" s="61">
        <f>G6*1.12</f>
        <v>11226.116521984</v>
      </c>
      <c r="I6" s="59">
        <f>H6*1.12</f>
        <v>12573.2505046221</v>
      </c>
      <c r="J6" s="59">
        <f>I6*1.12</f>
        <v>14082.0405651768</v>
      </c>
      <c r="K6" s="59">
        <f>J6*1.12</f>
        <v>15771.885432998</v>
      </c>
      <c r="L6" s="59">
        <f>K6*1.12</f>
        <v>17664.5116849578</v>
      </c>
      <c r="M6" s="59">
        <f>L6*1.12</f>
        <v>19784.2530871527</v>
      </c>
      <c r="N6" s="62">
        <f>M6*1.12</f>
        <v>22158.363457611</v>
      </c>
      <c r="O6" s="63">
        <f>SUM(C6:N6)</f>
        <v>153728.058937702</v>
      </c>
      <c r="P6" s="64"/>
    </row>
    <row r="7" ht="18" customHeight="1">
      <c r="A7" s="34"/>
      <c r="B7" t="s" s="58">
        <v>26</v>
      </c>
      <c r="C7" s="62">
        <v>14898</v>
      </c>
      <c r="D7" s="63">
        <f>C7*1.06</f>
        <v>15791.88</v>
      </c>
      <c r="E7" s="59">
        <f>D7*1.06</f>
        <v>16739.3928</v>
      </c>
      <c r="F7" s="59">
        <f>E7*1.06</f>
        <v>17743.756368</v>
      </c>
      <c r="G7" s="60">
        <f>F7*1.06</f>
        <v>18808.38175008</v>
      </c>
      <c r="H7" s="61">
        <f>G7*1.06</f>
        <v>19936.8846550848</v>
      </c>
      <c r="I7" s="59">
        <f>H7*1.06</f>
        <v>21133.0977343899</v>
      </c>
      <c r="J7" s="59">
        <f>I7*1.06</f>
        <v>22401.0835984533</v>
      </c>
      <c r="K7" s="59">
        <f>J7*1.06</f>
        <v>23745.1486143605</v>
      </c>
      <c r="L7" s="59">
        <f>K7*1.06</f>
        <v>25169.8575312221</v>
      </c>
      <c r="M7" s="59">
        <f>L7*1.06</f>
        <v>26680.0489830954</v>
      </c>
      <c r="N7" s="62">
        <f>M7*1.06</f>
        <v>28280.8519220811</v>
      </c>
      <c r="O7" s="63">
        <f>SUM(C7:N7)</f>
        <v>251328.383956767</v>
      </c>
      <c r="P7" s="67"/>
    </row>
    <row r="8" ht="18" customHeight="1">
      <c r="A8" s="34"/>
      <c r="B8" t="s" s="58">
        <v>115</v>
      </c>
      <c r="C8" s="60">
        <v>12325</v>
      </c>
      <c r="D8" s="61">
        <v>12325</v>
      </c>
      <c r="E8" s="59">
        <v>12325</v>
      </c>
      <c r="F8" s="59">
        <v>12325</v>
      </c>
      <c r="G8" s="60">
        <v>12325</v>
      </c>
      <c r="H8" s="147">
        <v>12325</v>
      </c>
      <c r="I8" s="147">
        <v>12325</v>
      </c>
      <c r="J8" s="147">
        <v>12325</v>
      </c>
      <c r="K8" s="147">
        <v>12325</v>
      </c>
      <c r="L8" s="147">
        <v>12325</v>
      </c>
      <c r="M8" s="147">
        <v>12325</v>
      </c>
      <c r="N8" s="147">
        <v>12325</v>
      </c>
      <c r="O8" s="61">
        <f>SUM(C8:N8)</f>
        <v>147900</v>
      </c>
      <c r="P8" s="67"/>
    </row>
    <row r="9" ht="18" customHeight="1">
      <c r="A9" s="34"/>
      <c r="B9" t="s" s="58">
        <v>116</v>
      </c>
      <c r="C9" s="62">
        <v>0</v>
      </c>
      <c r="D9" s="63">
        <v>0</v>
      </c>
      <c r="E9" s="59">
        <v>0</v>
      </c>
      <c r="F9" s="59">
        <v>14000</v>
      </c>
      <c r="G9" s="60">
        <v>0</v>
      </c>
      <c r="H9" s="61">
        <v>0</v>
      </c>
      <c r="I9" s="59">
        <v>14000</v>
      </c>
      <c r="J9" s="59">
        <v>0</v>
      </c>
      <c r="K9" s="59">
        <v>0</v>
      </c>
      <c r="L9" s="59">
        <v>14000</v>
      </c>
      <c r="M9" s="59">
        <v>0</v>
      </c>
      <c r="N9" s="62">
        <v>0</v>
      </c>
      <c r="O9" s="63">
        <f>SUM(C9:N9)</f>
        <v>42000</v>
      </c>
      <c r="P9" s="67"/>
    </row>
    <row r="10" ht="18" customHeight="1">
      <c r="A10" s="34"/>
      <c r="B10" t="s" s="73">
        <v>117</v>
      </c>
      <c r="C10" s="77">
        <f>C6+C7+C8+C9</f>
        <v>33593</v>
      </c>
      <c r="D10" s="78">
        <f>D6+D7+D8+D9</f>
        <v>35251.28</v>
      </c>
      <c r="E10" s="74">
        <f>E6+E7+E8+E9</f>
        <v>37054.9208</v>
      </c>
      <c r="F10" s="74">
        <f>F6+F7+F8+F9</f>
        <v>53018.147728</v>
      </c>
      <c r="G10" s="75">
        <f>G6+G7+G8+G9</f>
        <v>41156.70007328</v>
      </c>
      <c r="H10" s="76">
        <f>H6+H7+H8+H9</f>
        <v>43488.0011770688</v>
      </c>
      <c r="I10" s="74">
        <f>I6+I7+I8+I9</f>
        <v>60031.348239012</v>
      </c>
      <c r="J10" s="74">
        <f>J6+J7+J8+J9</f>
        <v>48808.1241636301</v>
      </c>
      <c r="K10" s="74">
        <f>K6+K7+K8+K9</f>
        <v>51842.0340473585</v>
      </c>
      <c r="L10" s="74">
        <f>L6+L7+L8+L9</f>
        <v>69159.3692161799</v>
      </c>
      <c r="M10" s="74">
        <f>M6+M7+M8+M9</f>
        <v>58789.3020702481</v>
      </c>
      <c r="N10" s="77">
        <f>N6+N7+N8+N9</f>
        <v>62764.2153796921</v>
      </c>
      <c r="O10" s="78">
        <f>O6+O7+O8+O9</f>
        <v>594956.442894469</v>
      </c>
      <c r="P10" s="79"/>
    </row>
    <row r="11" ht="18" customHeight="1">
      <c r="A11" s="34"/>
      <c r="B11" t="s" s="58">
        <v>118</v>
      </c>
      <c r="C11" s="62">
        <f>0.98*C1</f>
        <v>7569.716</v>
      </c>
      <c r="D11" s="63">
        <f>0.98*D1</f>
        <v>8023.89896</v>
      </c>
      <c r="E11" s="59">
        <f>0.98*E1</f>
        <v>8505.332897599999</v>
      </c>
      <c r="F11" s="59">
        <f>0.98*F1</f>
        <v>9015.652871456001</v>
      </c>
      <c r="G11" s="62">
        <f>0.98*G1</f>
        <v>9556.592043743360</v>
      </c>
      <c r="H11" s="63">
        <f>0.98*H1</f>
        <v>10129.9875663679</v>
      </c>
      <c r="I11" s="59">
        <f>0.98*I1</f>
        <v>10737.78682035</v>
      </c>
      <c r="J11" s="59">
        <f>0.98*J1</f>
        <v>11382.0540295711</v>
      </c>
      <c r="K11" s="59">
        <f>0.98*K1</f>
        <v>12064.9772713454</v>
      </c>
      <c r="L11" s="59">
        <f>0.98*L1</f>
        <v>12788.8759076261</v>
      </c>
      <c r="M11" s="59">
        <f>0.98*M1</f>
        <v>13556.2084620837</v>
      </c>
      <c r="N11" s="62">
        <f>0.98*N1</f>
        <v>14369.5809698087</v>
      </c>
      <c r="O11" s="63">
        <f>0.98*O1</f>
        <v>127700.663799953</v>
      </c>
      <c r="P11" s="80">
        <f>O11/$O$10</f>
        <v>0.214638677041109</v>
      </c>
    </row>
    <row r="12" ht="18" customHeight="1">
      <c r="A12" s="34"/>
      <c r="B12" t="s" s="58">
        <v>32</v>
      </c>
      <c r="C12" s="62">
        <f>0.056*C1</f>
        <v>432.5552</v>
      </c>
      <c r="D12" s="63">
        <f>0.056*D1</f>
        <v>458.508512</v>
      </c>
      <c r="E12" s="59">
        <f>0.056*E1</f>
        <v>486.01902272</v>
      </c>
      <c r="F12" s="59">
        <f>0.056*F1</f>
        <v>515.1801640832</v>
      </c>
      <c r="G12" s="62">
        <f>0.056*G1</f>
        <v>546.0909739281921</v>
      </c>
      <c r="H12" s="63">
        <f>0.056*H1</f>
        <v>578.856432363882</v>
      </c>
      <c r="I12" s="59">
        <f>0.056*I1</f>
        <v>613.587818305717</v>
      </c>
      <c r="J12" s="59">
        <f>0.056*J1</f>
        <v>650.403087404062</v>
      </c>
      <c r="K12" s="59">
        <f>0.056*K1</f>
        <v>689.4272726483071</v>
      </c>
      <c r="L12" s="59">
        <f>0.056*L1</f>
        <v>730.792909007207</v>
      </c>
      <c r="M12" s="59">
        <f>0.056*M1</f>
        <v>774.640483547638</v>
      </c>
      <c r="N12" s="62">
        <f>0.056*N1</f>
        <v>821.118912560498</v>
      </c>
      <c r="O12" s="63">
        <f>0.056*O1</f>
        <v>7297.180788568720</v>
      </c>
      <c r="P12" s="80">
        <f>O12/$O$10</f>
        <v>0.0122650672594919</v>
      </c>
    </row>
    <row r="13" ht="18" customHeight="1">
      <c r="A13" s="34"/>
      <c r="B13" t="s" s="58">
        <v>119</v>
      </c>
      <c r="C13" s="62">
        <f>1.18*C2</f>
        <v>843.7</v>
      </c>
      <c r="D13" s="63">
        <f>1.18*D2</f>
        <v>843.7</v>
      </c>
      <c r="E13" s="59">
        <f>1.18*E2</f>
        <v>843.7</v>
      </c>
      <c r="F13" s="59">
        <f>1.18*F2</f>
        <v>843.7</v>
      </c>
      <c r="G13" s="62">
        <f>1.18*G2</f>
        <v>843.7</v>
      </c>
      <c r="H13" s="63">
        <f>1.18*H2</f>
        <v>843.7</v>
      </c>
      <c r="I13" s="59">
        <f>1.18*I2</f>
        <v>843.7</v>
      </c>
      <c r="J13" s="59">
        <f>1.18*J2</f>
        <v>843.7</v>
      </c>
      <c r="K13" s="59">
        <f>1.18*K2</f>
        <v>843.7</v>
      </c>
      <c r="L13" s="59">
        <f>1.18*L2</f>
        <v>843.7</v>
      </c>
      <c r="M13" s="59">
        <f>1.18*M2</f>
        <v>843.7</v>
      </c>
      <c r="N13" s="62">
        <f>1.18*N2</f>
        <v>843.7</v>
      </c>
      <c r="O13" s="63">
        <f>1.18*O2</f>
        <v>10124.4</v>
      </c>
      <c r="P13" s="80">
        <f>O13/$O$10</f>
        <v>0.017017044055771</v>
      </c>
    </row>
    <row r="14" ht="18" customHeight="1">
      <c r="A14" s="34"/>
      <c r="B14" t="s" s="82">
        <v>34</v>
      </c>
      <c r="C14" s="84">
        <f>SUM(C11:C13)</f>
        <v>8845.9712</v>
      </c>
      <c r="D14" s="85">
        <f>SUM(D11:D13)</f>
        <v>9326.107472</v>
      </c>
      <c r="E14" s="83">
        <f>SUM(E11:E13)</f>
        <v>9835.05192032</v>
      </c>
      <c r="F14" s="83">
        <f>SUM(F11:F13)</f>
        <v>10374.5330355392</v>
      </c>
      <c r="G14" s="84">
        <f>SUM(G11:G13)</f>
        <v>10946.3830176716</v>
      </c>
      <c r="H14" s="85">
        <f>SUM(H11:H13)</f>
        <v>11552.5439987318</v>
      </c>
      <c r="I14" s="83">
        <f>SUM(I11:I13)</f>
        <v>12195.0746386557</v>
      </c>
      <c r="J14" s="83">
        <f>SUM(J11:J13)</f>
        <v>12876.1571169752</v>
      </c>
      <c r="K14" s="83">
        <f>SUM(K11:K13)</f>
        <v>13598.1045439937</v>
      </c>
      <c r="L14" s="83">
        <f>SUM(L11:L13)</f>
        <v>14363.3688166333</v>
      </c>
      <c r="M14" s="83">
        <f>SUM(M11:M13)</f>
        <v>15174.5489456313</v>
      </c>
      <c r="N14" s="84">
        <f>SUM(N11:N13)</f>
        <v>16034.3998823692</v>
      </c>
      <c r="O14" s="85">
        <f>SUM(C14:N14)</f>
        <v>145122.244588521</v>
      </c>
      <c r="P14" s="86">
        <f>O14/$O$10</f>
        <v>0.243920788356371</v>
      </c>
    </row>
    <row r="15" ht="18" customHeight="1">
      <c r="A15" s="34"/>
      <c r="B15" t="s" s="58">
        <v>120</v>
      </c>
      <c r="C15" s="62">
        <f>0.02*C6</f>
        <v>127.4</v>
      </c>
      <c r="D15" s="63">
        <f>0.02*D6</f>
        <v>142.688</v>
      </c>
      <c r="E15" s="59">
        <f>0.02*E6</f>
        <v>159.81056</v>
      </c>
      <c r="F15" s="59">
        <f>0.02*F6</f>
        <v>178.9878272</v>
      </c>
      <c r="G15" s="60">
        <f>0.02*G6</f>
        <v>200.466366464</v>
      </c>
      <c r="H15" s="61">
        <f>0.02*H6</f>
        <v>224.522330439680</v>
      </c>
      <c r="I15" s="59">
        <f>0.02*I6</f>
        <v>251.465010092442</v>
      </c>
      <c r="J15" s="59">
        <f>0.02*J6</f>
        <v>281.640811303536</v>
      </c>
      <c r="K15" s="59">
        <f>0.02*K6</f>
        <v>315.437708659960</v>
      </c>
      <c r="L15" s="59">
        <f>0.02*L6</f>
        <v>353.290233699156</v>
      </c>
      <c r="M15" s="59">
        <f>0.02*M6</f>
        <v>395.685061743054</v>
      </c>
      <c r="N15" s="62">
        <f>0.02*N6</f>
        <v>443.167269152220</v>
      </c>
      <c r="O15" s="63">
        <f>0.02*O6</f>
        <v>3074.561178754040</v>
      </c>
      <c r="P15" s="80"/>
    </row>
    <row r="16" ht="18" customHeight="1">
      <c r="A16" s="34"/>
      <c r="B16" t="s" s="58">
        <v>121</v>
      </c>
      <c r="C16" s="62">
        <f>10*99</f>
        <v>990</v>
      </c>
      <c r="D16" s="63">
        <f>C16*1.1</f>
        <v>1089</v>
      </c>
      <c r="E16" s="59">
        <f>D16*1.1</f>
        <v>1197.9</v>
      </c>
      <c r="F16" s="59">
        <f>E16*1.1</f>
        <v>1317.69</v>
      </c>
      <c r="G16" s="60">
        <f>F16*1.1</f>
        <v>1449.459</v>
      </c>
      <c r="H16" s="61">
        <f>G16*1.1</f>
        <v>1594.4049</v>
      </c>
      <c r="I16" s="59">
        <f>H16*1.1</f>
        <v>1753.84539</v>
      </c>
      <c r="J16" s="59">
        <f>I16*1.1</f>
        <v>1929.229929</v>
      </c>
      <c r="K16" s="59">
        <f>J16*1.1</f>
        <v>2122.1529219</v>
      </c>
      <c r="L16" s="59">
        <f>K16*1.1</f>
        <v>2334.36821409</v>
      </c>
      <c r="M16" s="59">
        <f>L16*1.1</f>
        <v>2567.805035499</v>
      </c>
      <c r="N16" s="62">
        <f>M16*1.1</f>
        <v>2824.5855390489</v>
      </c>
      <c r="O16" s="63">
        <f>SUM(C16,D16,E16,F16,G16,H16,J16,I16,K16,L16,M16,N16)</f>
        <v>21170.4409295379</v>
      </c>
      <c r="P16" s="80"/>
    </row>
    <row r="17" ht="18" customHeight="1">
      <c r="A17" s="34"/>
      <c r="B17" t="s" s="58">
        <v>122</v>
      </c>
      <c r="C17" s="62">
        <f>75*10</f>
        <v>750</v>
      </c>
      <c r="D17" s="63">
        <v>900</v>
      </c>
      <c r="E17" s="59">
        <v>900</v>
      </c>
      <c r="F17" s="59">
        <v>900</v>
      </c>
      <c r="G17" s="60">
        <v>900</v>
      </c>
      <c r="H17" s="61">
        <v>900</v>
      </c>
      <c r="I17" s="59">
        <v>900</v>
      </c>
      <c r="J17" s="59">
        <v>900</v>
      </c>
      <c r="K17" s="59">
        <v>900</v>
      </c>
      <c r="L17" s="59">
        <v>900</v>
      </c>
      <c r="M17" s="59">
        <v>900</v>
      </c>
      <c r="N17" s="62">
        <v>900</v>
      </c>
      <c r="O17" s="63">
        <f>SUM(C17:N17)</f>
        <v>10650</v>
      </c>
      <c r="P17" s="80">
        <f>O17/$O$10</f>
        <v>0.0179004700717041</v>
      </c>
    </row>
    <row r="18" ht="18" customHeight="1">
      <c r="A18" s="34"/>
      <c r="B18" t="s" s="58">
        <v>39</v>
      </c>
      <c r="C18" s="62">
        <f>10*10</f>
        <v>100</v>
      </c>
      <c r="D18" s="63">
        <v>120</v>
      </c>
      <c r="E18" s="59">
        <v>120</v>
      </c>
      <c r="F18" s="59">
        <v>120</v>
      </c>
      <c r="G18" s="60">
        <v>120</v>
      </c>
      <c r="H18" s="61">
        <v>120</v>
      </c>
      <c r="I18" s="59">
        <v>120</v>
      </c>
      <c r="J18" s="59">
        <v>120</v>
      </c>
      <c r="K18" s="59">
        <v>120</v>
      </c>
      <c r="L18" s="59">
        <v>120</v>
      </c>
      <c r="M18" s="59">
        <v>120</v>
      </c>
      <c r="N18" s="62">
        <v>120</v>
      </c>
      <c r="O18" s="63">
        <f>SUM(C18:N18)</f>
        <v>1420</v>
      </c>
      <c r="P18" s="80">
        <f>O18/$O$10</f>
        <v>0.00238672934289389</v>
      </c>
    </row>
    <row r="19" ht="18" customHeight="1">
      <c r="A19" s="34"/>
      <c r="B19" t="s" s="82">
        <v>41</v>
      </c>
      <c r="C19" s="84">
        <f>SUM(C15,C16,C17,C18)</f>
        <v>1967.4</v>
      </c>
      <c r="D19" s="85">
        <f>SUM(D15,D16,D17,D18)</f>
        <v>2251.688</v>
      </c>
      <c r="E19" s="83">
        <f>SUM(E15,E16,E17,E18)</f>
        <v>2377.71056</v>
      </c>
      <c r="F19" s="83">
        <f>SUM(F15,F16,F17,F18)</f>
        <v>2516.6778272</v>
      </c>
      <c r="G19" s="90">
        <f>SUM(G15,G16,G17,G18)</f>
        <v>2669.925366464</v>
      </c>
      <c r="H19" s="91">
        <f>SUM(H15,H16,H17,H18)</f>
        <v>2838.927230439680</v>
      </c>
      <c r="I19" s="83">
        <f>SUM(I15,I16,I17,I18)</f>
        <v>3025.310400092440</v>
      </c>
      <c r="J19" s="83">
        <f>SUM(J15,J16,J17,J18)</f>
        <v>3230.870740303540</v>
      </c>
      <c r="K19" s="83">
        <f>SUM(K15,K16,K17,K18)</f>
        <v>3457.590630559960</v>
      </c>
      <c r="L19" s="83">
        <f>SUM(L15,L16,L17,L18)</f>
        <v>3707.658447789160</v>
      </c>
      <c r="M19" s="83">
        <f>SUM(M15,M16,M17,M18)</f>
        <v>3983.490097242050</v>
      </c>
      <c r="N19" s="84">
        <f>SUM(N15,N16,N17,N18)</f>
        <v>4287.752808201120</v>
      </c>
      <c r="O19" s="85">
        <f>SUM(O15,O16,O17,O18)</f>
        <v>36315.0021082919</v>
      </c>
      <c r="P19" s="86">
        <f>O19/$O$10</f>
        <v>0.0610380852951504</v>
      </c>
    </row>
    <row r="20" ht="18" customHeight="1">
      <c r="A20" s="34"/>
      <c r="B20" s="41"/>
      <c r="C20" s="62"/>
      <c r="D20" s="63"/>
      <c r="E20" s="59"/>
      <c r="F20" s="59"/>
      <c r="G20" s="60"/>
      <c r="H20" s="61"/>
      <c r="I20" s="59"/>
      <c r="J20" s="59"/>
      <c r="K20" s="59"/>
      <c r="L20" s="59"/>
      <c r="M20" s="59"/>
      <c r="N20" s="62"/>
      <c r="O20" s="63"/>
      <c r="P20" s="80"/>
    </row>
    <row r="21" ht="18" customHeight="1">
      <c r="A21" s="34"/>
      <c r="B21" t="s" s="92">
        <v>123</v>
      </c>
      <c r="C21" s="84">
        <f>C14+C19</f>
        <v>10813.3712</v>
      </c>
      <c r="D21" s="85">
        <f>D14+D19</f>
        <v>11577.795472</v>
      </c>
      <c r="E21" s="83">
        <f>E14+E19</f>
        <v>12212.76248032</v>
      </c>
      <c r="F21" s="83">
        <f>F14+F19</f>
        <v>12891.2108627392</v>
      </c>
      <c r="G21" s="90">
        <f>G14+G19</f>
        <v>13616.3083841356</v>
      </c>
      <c r="H21" s="91">
        <f>H14+H19</f>
        <v>14391.4712291715</v>
      </c>
      <c r="I21" s="83">
        <f>I14+I19</f>
        <v>15220.3850387481</v>
      </c>
      <c r="J21" s="83">
        <f>J14+J19</f>
        <v>16107.0278572787</v>
      </c>
      <c r="K21" s="83">
        <f>K14+K19</f>
        <v>17055.6951745537</v>
      </c>
      <c r="L21" s="83">
        <f>L14+L19</f>
        <v>18071.0272644225</v>
      </c>
      <c r="M21" s="83">
        <f>M14+M19</f>
        <v>19158.0390428734</v>
      </c>
      <c r="N21" s="84">
        <f>N14+N19</f>
        <v>20322.1526905703</v>
      </c>
      <c r="O21" s="85">
        <f>SUM(C21:N21)</f>
        <v>181437.246696813</v>
      </c>
      <c r="P21" s="86">
        <f>O21/$O$10</f>
        <v>0.304958873651521</v>
      </c>
    </row>
    <row r="22" ht="18" customHeight="1">
      <c r="A22" s="34"/>
      <c r="B22" s="41"/>
      <c r="C22" s="62"/>
      <c r="D22" s="63"/>
      <c r="E22" s="59"/>
      <c r="F22" s="59"/>
      <c r="G22" s="60"/>
      <c r="H22" s="61"/>
      <c r="I22" s="59"/>
      <c r="J22" s="59"/>
      <c r="K22" s="59"/>
      <c r="L22" s="59"/>
      <c r="M22" s="59"/>
      <c r="N22" s="62"/>
      <c r="O22" s="63"/>
      <c r="P22" s="80"/>
    </row>
    <row r="23" ht="18" customHeight="1">
      <c r="A23" s="34"/>
      <c r="B23" t="s" s="73">
        <v>124</v>
      </c>
      <c r="C23" s="77">
        <f>C10-C21</f>
        <v>22779.6288</v>
      </c>
      <c r="D23" s="78">
        <f>D10-D21</f>
        <v>23673.484528</v>
      </c>
      <c r="E23" s="74">
        <f>E10-E21</f>
        <v>24842.15831968</v>
      </c>
      <c r="F23" s="74">
        <f>F10-F21</f>
        <v>40126.9368652608</v>
      </c>
      <c r="G23" s="75">
        <f>G10-G21</f>
        <v>27540.3916891444</v>
      </c>
      <c r="H23" s="76">
        <f>H10-H21</f>
        <v>29096.5299478973</v>
      </c>
      <c r="I23" s="74">
        <f>I10-I21</f>
        <v>44810.9632002639</v>
      </c>
      <c r="J23" s="74">
        <f>J10-J21</f>
        <v>32701.0963063514</v>
      </c>
      <c r="K23" s="74">
        <f>K10-K21</f>
        <v>34786.3388728048</v>
      </c>
      <c r="L23" s="74">
        <f>L10-L21</f>
        <v>51088.3419517574</v>
      </c>
      <c r="M23" s="74">
        <f>M10-M21</f>
        <v>39631.2630273747</v>
      </c>
      <c r="N23" s="77">
        <f>N10-N21</f>
        <v>42442.0626891218</v>
      </c>
      <c r="O23" s="78">
        <f>SUM(C23:N23)</f>
        <v>413519.196197657</v>
      </c>
      <c r="P23" s="93">
        <f>O23/$O$10</f>
        <v>0.69504112634848</v>
      </c>
    </row>
    <row r="24" ht="18" customHeight="1">
      <c r="A24" s="34"/>
      <c r="B24" s="41"/>
      <c r="C24" s="59"/>
      <c r="D24" s="59"/>
      <c r="E24" s="59"/>
      <c r="F24" s="59"/>
      <c r="G24" s="60"/>
      <c r="H24" s="61"/>
      <c r="I24" s="59"/>
      <c r="J24" s="59"/>
      <c r="K24" s="59"/>
      <c r="L24" s="59"/>
      <c r="M24" s="59"/>
      <c r="N24" s="62"/>
      <c r="O24" s="63"/>
      <c r="P24" s="80"/>
    </row>
    <row r="25" ht="18" customHeight="1">
      <c r="A25" s="34"/>
      <c r="B25" t="s" s="58">
        <v>94</v>
      </c>
      <c r="C25" s="59">
        <f t="shared" si="182" ref="C25:N26">3149.76</f>
        <v>3149.76</v>
      </c>
      <c r="D25" s="59">
        <f t="shared" si="182"/>
        <v>3149.76</v>
      </c>
      <c r="E25" s="59">
        <f t="shared" si="182"/>
        <v>3149.76</v>
      </c>
      <c r="F25" s="59">
        <f t="shared" si="182"/>
        <v>3149.76</v>
      </c>
      <c r="G25" s="60">
        <f t="shared" si="182"/>
        <v>3149.76</v>
      </c>
      <c r="H25" s="61">
        <f t="shared" si="182"/>
        <v>3149.76</v>
      </c>
      <c r="I25" s="59">
        <f t="shared" si="182"/>
        <v>3149.76</v>
      </c>
      <c r="J25" s="59">
        <f t="shared" si="182"/>
        <v>3149.76</v>
      </c>
      <c r="K25" s="59">
        <f t="shared" si="182"/>
        <v>3149.76</v>
      </c>
      <c r="L25" s="59">
        <f t="shared" si="182"/>
        <v>3149.76</v>
      </c>
      <c r="M25" s="59">
        <f t="shared" si="182"/>
        <v>3149.76</v>
      </c>
      <c r="N25" s="62">
        <f t="shared" si="182"/>
        <v>3149.76</v>
      </c>
      <c r="O25" s="63">
        <f>SUM(C25:N25)</f>
        <v>37797.12</v>
      </c>
      <c r="P25" s="80">
        <f>O25/$O$10</f>
        <v>0.0635292220992122</v>
      </c>
    </row>
    <row r="26" ht="18" customHeight="1">
      <c r="A26" s="34"/>
      <c r="B26" t="s" s="58">
        <v>95</v>
      </c>
      <c r="C26" s="59">
        <f t="shared" si="182"/>
        <v>3149.76</v>
      </c>
      <c r="D26" s="59">
        <f t="shared" si="182"/>
        <v>3149.76</v>
      </c>
      <c r="E26" s="59">
        <f t="shared" si="182"/>
        <v>3149.76</v>
      </c>
      <c r="F26" s="59">
        <f t="shared" si="182"/>
        <v>3149.76</v>
      </c>
      <c r="G26" s="60">
        <f t="shared" si="182"/>
        <v>3149.76</v>
      </c>
      <c r="H26" s="61">
        <f t="shared" si="182"/>
        <v>3149.76</v>
      </c>
      <c r="I26" s="59">
        <f t="shared" si="182"/>
        <v>3149.76</v>
      </c>
      <c r="J26" s="59">
        <f t="shared" si="182"/>
        <v>3149.76</v>
      </c>
      <c r="K26" s="59">
        <f t="shared" si="182"/>
        <v>3149.76</v>
      </c>
      <c r="L26" s="59">
        <f t="shared" si="182"/>
        <v>3149.76</v>
      </c>
      <c r="M26" s="59">
        <f t="shared" si="182"/>
        <v>3149.76</v>
      </c>
      <c r="N26" s="62">
        <f t="shared" si="182"/>
        <v>3149.76</v>
      </c>
      <c r="O26" s="63">
        <f>SUM(C26:N26)</f>
        <v>37797.12</v>
      </c>
      <c r="P26" s="80">
        <f>O26/$O$10</f>
        <v>0.0635292220992122</v>
      </c>
    </row>
    <row r="27" ht="18" customHeight="1">
      <c r="A27" s="34"/>
      <c r="B27" t="s" s="58">
        <v>96</v>
      </c>
      <c r="C27" s="59">
        <v>2475</v>
      </c>
      <c r="D27" s="59">
        <v>2475</v>
      </c>
      <c r="E27" s="59">
        <v>2475</v>
      </c>
      <c r="F27" s="59">
        <v>2475</v>
      </c>
      <c r="G27" s="60">
        <v>2475</v>
      </c>
      <c r="H27" s="61">
        <v>2475</v>
      </c>
      <c r="I27" s="59">
        <v>2475</v>
      </c>
      <c r="J27" s="59">
        <v>2475</v>
      </c>
      <c r="K27" s="59">
        <v>2475</v>
      </c>
      <c r="L27" s="59">
        <v>2475</v>
      </c>
      <c r="M27" s="59">
        <v>2475</v>
      </c>
      <c r="N27" s="62">
        <v>2475</v>
      </c>
      <c r="O27" s="63">
        <f>SUM(C27:N27)</f>
        <v>29700</v>
      </c>
      <c r="P27" s="80">
        <f>O27/$O$10</f>
        <v>0.049919620763344</v>
      </c>
    </row>
    <row r="28" ht="18" customHeight="1">
      <c r="A28" s="34"/>
      <c r="B28" t="s" s="58">
        <v>125</v>
      </c>
      <c r="C28" s="59">
        <v>2835</v>
      </c>
      <c r="D28" s="59">
        <v>2835</v>
      </c>
      <c r="E28" s="59">
        <v>2835</v>
      </c>
      <c r="F28" s="59">
        <v>2835</v>
      </c>
      <c r="G28" s="60">
        <v>2835</v>
      </c>
      <c r="H28" s="61">
        <v>2835</v>
      </c>
      <c r="I28" s="59">
        <v>2835</v>
      </c>
      <c r="J28" s="59">
        <v>2835</v>
      </c>
      <c r="K28" s="59">
        <v>2835</v>
      </c>
      <c r="L28" s="59">
        <v>2835</v>
      </c>
      <c r="M28" s="59">
        <v>2835</v>
      </c>
      <c r="N28" s="62">
        <v>2835</v>
      </c>
      <c r="O28" s="63">
        <f>SUM(C28:N28)</f>
        <v>34020</v>
      </c>
      <c r="P28" s="80">
        <f>O28/$O$10</f>
        <v>0.0571806565107394</v>
      </c>
    </row>
    <row r="29" ht="18" customHeight="1">
      <c r="A29" s="34"/>
      <c r="B29" t="s" s="58">
        <v>126</v>
      </c>
      <c r="C29" s="59">
        <v>2100</v>
      </c>
      <c r="D29" s="59">
        <v>2100</v>
      </c>
      <c r="E29" s="59">
        <v>2100</v>
      </c>
      <c r="F29" s="59">
        <v>2100</v>
      </c>
      <c r="G29" s="60">
        <v>2100</v>
      </c>
      <c r="H29" s="61">
        <v>2100</v>
      </c>
      <c r="I29" s="59">
        <v>2100</v>
      </c>
      <c r="J29" s="59">
        <v>2100</v>
      </c>
      <c r="K29" s="59">
        <v>2100</v>
      </c>
      <c r="L29" s="59">
        <v>2100</v>
      </c>
      <c r="M29" s="59">
        <v>2100</v>
      </c>
      <c r="N29" s="62">
        <v>2100</v>
      </c>
      <c r="O29" s="63">
        <f>SUM(C29:N29)</f>
        <v>25200</v>
      </c>
      <c r="P29" s="80">
        <f>O29/$O$10</f>
        <v>0.042356041859807</v>
      </c>
    </row>
    <row r="30" ht="18" customHeight="1">
      <c r="A30" s="34"/>
      <c r="B30" t="s" s="58">
        <v>48</v>
      </c>
      <c r="C30" s="59">
        <v>415</v>
      </c>
      <c r="D30" s="59">
        <v>415</v>
      </c>
      <c r="E30" s="59">
        <v>415</v>
      </c>
      <c r="F30" s="59">
        <v>415</v>
      </c>
      <c r="G30" s="60">
        <v>415</v>
      </c>
      <c r="H30" s="61">
        <v>415</v>
      </c>
      <c r="I30" s="59">
        <v>415</v>
      </c>
      <c r="J30" s="59">
        <v>415</v>
      </c>
      <c r="K30" s="59">
        <v>415</v>
      </c>
      <c r="L30" s="59">
        <v>415</v>
      </c>
      <c r="M30" s="59">
        <v>415</v>
      </c>
      <c r="N30" s="62">
        <v>415</v>
      </c>
      <c r="O30" s="63">
        <f>SUM(C30:N30)</f>
        <v>4980</v>
      </c>
      <c r="P30" s="80">
        <f>O30/$O$10</f>
        <v>0.008370360653247569</v>
      </c>
    </row>
    <row r="31" ht="18" customHeight="1">
      <c r="A31" s="34"/>
      <c r="B31" t="s" s="58">
        <v>127</v>
      </c>
      <c r="C31" s="59">
        <v>2475</v>
      </c>
      <c r="D31" s="59">
        <v>2475</v>
      </c>
      <c r="E31" s="59">
        <v>2475</v>
      </c>
      <c r="F31" s="59">
        <v>2475</v>
      </c>
      <c r="G31" s="60">
        <v>2475</v>
      </c>
      <c r="H31" s="61">
        <v>2475</v>
      </c>
      <c r="I31" s="59">
        <v>2475</v>
      </c>
      <c r="J31" s="59">
        <v>2475</v>
      </c>
      <c r="K31" s="59">
        <v>2475</v>
      </c>
      <c r="L31" s="59">
        <v>2475</v>
      </c>
      <c r="M31" s="59">
        <v>2475</v>
      </c>
      <c r="N31" s="62">
        <v>2475</v>
      </c>
      <c r="O31" s="63">
        <f>SUM(C31:N31)</f>
        <v>29700</v>
      </c>
      <c r="P31" s="80">
        <f>O31/$O$10</f>
        <v>0.049919620763344</v>
      </c>
    </row>
    <row r="32" ht="18" customHeight="1">
      <c r="A32" s="34"/>
      <c r="B32" t="s" s="82">
        <v>98</v>
      </c>
      <c r="C32" s="83">
        <f>SUM(C25:C31)</f>
        <v>16599.52</v>
      </c>
      <c r="D32" s="83">
        <f>SUM(D25:D31)</f>
        <v>16599.52</v>
      </c>
      <c r="E32" s="83">
        <f>SUM(E25:E31)</f>
        <v>16599.52</v>
      </c>
      <c r="F32" s="83">
        <f>SUM(F25:F31)</f>
        <v>16599.52</v>
      </c>
      <c r="G32" s="90">
        <f>SUM(G25:G31)</f>
        <v>16599.52</v>
      </c>
      <c r="H32" s="91">
        <f>SUM(H25:H31)</f>
        <v>16599.52</v>
      </c>
      <c r="I32" s="83">
        <f>SUM(I25:I31)</f>
        <v>16599.52</v>
      </c>
      <c r="J32" s="83">
        <f>SUM(J25:J31)</f>
        <v>16599.52</v>
      </c>
      <c r="K32" s="83">
        <f>SUM(K25:K31)</f>
        <v>16599.52</v>
      </c>
      <c r="L32" s="83">
        <f>SUM(L25:L31)</f>
        <v>16599.52</v>
      </c>
      <c r="M32" s="83">
        <f>SUM(M25:M31)</f>
        <v>16599.52</v>
      </c>
      <c r="N32" s="84">
        <f>SUM(N25:N31)</f>
        <v>16599.52</v>
      </c>
      <c r="O32" s="85">
        <f>SUM(C32:N32)</f>
        <v>199194.24</v>
      </c>
      <c r="P32" s="86">
        <f>O32/$O$10</f>
        <v>0.334804744748906</v>
      </c>
    </row>
    <row r="33" ht="18" customHeight="1">
      <c r="A33" s="34"/>
      <c r="B33" t="s" s="58">
        <v>128</v>
      </c>
      <c r="C33" s="59">
        <v>2500</v>
      </c>
      <c r="D33" s="59">
        <v>2500</v>
      </c>
      <c r="E33" s="59">
        <v>2500</v>
      </c>
      <c r="F33" s="59">
        <v>2500</v>
      </c>
      <c r="G33" s="60">
        <v>2500</v>
      </c>
      <c r="H33" s="61">
        <v>2500</v>
      </c>
      <c r="I33" s="59">
        <v>3000</v>
      </c>
      <c r="J33" s="59">
        <v>3000</v>
      </c>
      <c r="K33" s="59">
        <v>3000</v>
      </c>
      <c r="L33" s="59">
        <v>3000</v>
      </c>
      <c r="M33" s="59">
        <v>3000</v>
      </c>
      <c r="N33" s="62">
        <v>3000</v>
      </c>
      <c r="O33" s="63">
        <f>C33+D33+E33+F33+G33+H33+I33+J33+K33+L33+M33+N33</f>
        <v>33000</v>
      </c>
      <c r="P33" s="80"/>
    </row>
    <row r="34" ht="18" customHeight="1">
      <c r="A34" s="34"/>
      <c r="B34" t="s" s="58">
        <v>100</v>
      </c>
      <c r="C34" s="59">
        <v>750</v>
      </c>
      <c r="D34" s="59">
        <v>750</v>
      </c>
      <c r="E34" s="59">
        <v>750</v>
      </c>
      <c r="F34" s="59">
        <v>750</v>
      </c>
      <c r="G34" s="60">
        <v>750</v>
      </c>
      <c r="H34" s="61">
        <v>750</v>
      </c>
      <c r="I34" s="59">
        <v>1000</v>
      </c>
      <c r="J34" s="59">
        <v>1000</v>
      </c>
      <c r="K34" s="59">
        <v>1000</v>
      </c>
      <c r="L34" s="59">
        <v>1000</v>
      </c>
      <c r="M34" s="59">
        <v>1000</v>
      </c>
      <c r="N34" s="62">
        <v>1000</v>
      </c>
      <c r="O34" s="63">
        <f>SUM(C34:N34)</f>
        <v>10500</v>
      </c>
      <c r="P34" s="80">
        <f>O34/$O$10</f>
        <v>0.0176483507749196</v>
      </c>
    </row>
    <row r="35" ht="18" customHeight="1">
      <c r="A35" s="34"/>
      <c r="B35" t="s" s="58">
        <v>129</v>
      </c>
      <c r="C35" s="59">
        <v>1500</v>
      </c>
      <c r="D35" s="59">
        <v>1500</v>
      </c>
      <c r="E35" s="59">
        <v>1500</v>
      </c>
      <c r="F35" s="59">
        <v>1500</v>
      </c>
      <c r="G35" s="60">
        <v>1500</v>
      </c>
      <c r="H35" s="61">
        <v>1500</v>
      </c>
      <c r="I35" s="59">
        <v>1500</v>
      </c>
      <c r="J35" s="59">
        <v>1500</v>
      </c>
      <c r="K35" s="59">
        <v>1500</v>
      </c>
      <c r="L35" s="59">
        <v>1500</v>
      </c>
      <c r="M35" s="59">
        <v>1500</v>
      </c>
      <c r="N35" s="62">
        <v>1500</v>
      </c>
      <c r="O35" s="63">
        <f>SUM(C35:N35)</f>
        <v>18000</v>
      </c>
      <c r="P35" s="80">
        <f>O35/$O$10</f>
        <v>0.0302543156141479</v>
      </c>
    </row>
    <row r="36" ht="18" customHeight="1">
      <c r="A36" s="34"/>
      <c r="B36" t="s" s="58">
        <v>55</v>
      </c>
      <c r="C36" s="59">
        <v>699</v>
      </c>
      <c r="D36" s="59">
        <v>699</v>
      </c>
      <c r="E36" s="59">
        <v>699</v>
      </c>
      <c r="F36" s="59">
        <v>699</v>
      </c>
      <c r="G36" s="60">
        <v>699</v>
      </c>
      <c r="H36" s="61">
        <v>699</v>
      </c>
      <c r="I36" s="59">
        <v>699</v>
      </c>
      <c r="J36" s="59">
        <v>699</v>
      </c>
      <c r="K36" s="59">
        <v>699</v>
      </c>
      <c r="L36" s="59">
        <v>699</v>
      </c>
      <c r="M36" s="59">
        <v>699</v>
      </c>
      <c r="N36" s="62">
        <v>699</v>
      </c>
      <c r="O36" s="63">
        <f>SUM(C36:N36)</f>
        <v>8388</v>
      </c>
      <c r="P36" s="80">
        <f>O36/$O$10</f>
        <v>0.0140985110761929</v>
      </c>
    </row>
    <row r="37" ht="18" customHeight="1">
      <c r="A37" s="34"/>
      <c r="B37" t="s" s="58">
        <v>101</v>
      </c>
      <c r="C37" s="59">
        <v>0</v>
      </c>
      <c r="D37" s="62">
        <v>3500</v>
      </c>
      <c r="E37" s="63">
        <v>0</v>
      </c>
      <c r="F37" s="59">
        <v>0</v>
      </c>
      <c r="G37" s="60">
        <v>0</v>
      </c>
      <c r="H37" s="61">
        <v>0</v>
      </c>
      <c r="I37" s="62">
        <v>3500</v>
      </c>
      <c r="J37" s="63">
        <v>0</v>
      </c>
      <c r="K37" s="59">
        <v>0</v>
      </c>
      <c r="L37" s="59">
        <v>0</v>
      </c>
      <c r="M37" s="59">
        <v>0</v>
      </c>
      <c r="N37" s="62">
        <v>3500</v>
      </c>
      <c r="O37" s="63">
        <f>SUM(C37:N37)</f>
        <v>10500</v>
      </c>
      <c r="P37" s="80">
        <f>O37/$O$10</f>
        <v>0.0176483507749196</v>
      </c>
    </row>
    <row r="38" ht="18" customHeight="1">
      <c r="A38" s="34"/>
      <c r="B38" t="s" s="58">
        <v>58</v>
      </c>
      <c r="C38" s="59">
        <v>750</v>
      </c>
      <c r="D38" s="59">
        <v>750</v>
      </c>
      <c r="E38" s="59">
        <v>750</v>
      </c>
      <c r="F38" s="59">
        <v>750</v>
      </c>
      <c r="G38" s="60">
        <v>750</v>
      </c>
      <c r="H38" s="61">
        <v>750</v>
      </c>
      <c r="I38" s="59">
        <v>750</v>
      </c>
      <c r="J38" s="59">
        <v>750</v>
      </c>
      <c r="K38" s="59">
        <v>750</v>
      </c>
      <c r="L38" s="59">
        <v>750</v>
      </c>
      <c r="M38" s="59">
        <v>750</v>
      </c>
      <c r="N38" s="62">
        <v>750</v>
      </c>
      <c r="O38" s="63">
        <f>SUM(C38:N38)</f>
        <v>9000</v>
      </c>
      <c r="P38" s="80">
        <f>O38/$O$10</f>
        <v>0.0151271578070739</v>
      </c>
    </row>
    <row r="39" ht="18" customHeight="1">
      <c r="A39" s="34"/>
      <c r="B39" t="s" s="58">
        <v>59</v>
      </c>
      <c r="C39" s="59">
        <v>200</v>
      </c>
      <c r="D39" s="59">
        <v>200</v>
      </c>
      <c r="E39" s="59">
        <v>200</v>
      </c>
      <c r="F39" s="59">
        <v>200</v>
      </c>
      <c r="G39" s="60">
        <v>200</v>
      </c>
      <c r="H39" s="61">
        <v>200</v>
      </c>
      <c r="I39" s="59">
        <v>200</v>
      </c>
      <c r="J39" s="59">
        <v>200</v>
      </c>
      <c r="K39" s="59">
        <v>200</v>
      </c>
      <c r="L39" s="59">
        <v>200</v>
      </c>
      <c r="M39" s="59">
        <v>200</v>
      </c>
      <c r="N39" s="62">
        <v>200</v>
      </c>
      <c r="O39" s="63">
        <f>SUM(C39:N39)</f>
        <v>2400</v>
      </c>
      <c r="P39" s="80">
        <f>O39/$O$10</f>
        <v>0.00403390874855305</v>
      </c>
    </row>
    <row r="40" ht="18" customHeight="1">
      <c r="A40" s="34"/>
      <c r="B40" t="s" s="58">
        <v>60</v>
      </c>
      <c r="C40" s="59">
        <v>250</v>
      </c>
      <c r="D40" s="59">
        <v>250</v>
      </c>
      <c r="E40" s="59">
        <v>250</v>
      </c>
      <c r="F40" s="59">
        <v>250</v>
      </c>
      <c r="G40" s="60">
        <v>250</v>
      </c>
      <c r="H40" s="61">
        <v>250</v>
      </c>
      <c r="I40" s="59">
        <v>250</v>
      </c>
      <c r="J40" s="59">
        <v>250</v>
      </c>
      <c r="K40" s="59">
        <v>250</v>
      </c>
      <c r="L40" s="59">
        <v>250</v>
      </c>
      <c r="M40" s="59">
        <v>250</v>
      </c>
      <c r="N40" s="62">
        <v>250</v>
      </c>
      <c r="O40" s="63">
        <f>SUM(C40:N40)</f>
        <v>3000</v>
      </c>
      <c r="P40" s="80">
        <f>O40/$O$10</f>
        <v>0.00504238593569131</v>
      </c>
    </row>
    <row r="41" ht="18" customHeight="1">
      <c r="A41" s="34"/>
      <c r="B41" t="s" s="82">
        <v>62</v>
      </c>
      <c r="C41" s="83">
        <f>SUM(C33:C40)</f>
        <v>6649</v>
      </c>
      <c r="D41" s="83">
        <f>SUM(D33:D40)</f>
        <v>10149</v>
      </c>
      <c r="E41" s="83">
        <f>SUM(E33:E40)</f>
        <v>6649</v>
      </c>
      <c r="F41" s="83">
        <f>SUM(F33:F40)</f>
        <v>6649</v>
      </c>
      <c r="G41" s="90">
        <f>SUM(G33:G40)</f>
        <v>6649</v>
      </c>
      <c r="H41" s="91">
        <f>SUM(H33:H40)</f>
        <v>6649</v>
      </c>
      <c r="I41" s="83">
        <f>SUM(I33:I40)</f>
        <v>10899</v>
      </c>
      <c r="J41" s="83">
        <f>SUM(J33:J40)</f>
        <v>7399</v>
      </c>
      <c r="K41" s="83">
        <f>SUM(K33:K40)</f>
        <v>7399</v>
      </c>
      <c r="L41" s="83">
        <f>SUM(L33:L40)</f>
        <v>7399</v>
      </c>
      <c r="M41" s="83">
        <f>SUM(M33:M40)</f>
        <v>7399</v>
      </c>
      <c r="N41" s="84">
        <f>SUM(N33:N40)</f>
        <v>10899</v>
      </c>
      <c r="O41" s="85">
        <f>SUM(C41:N41)</f>
        <v>94788</v>
      </c>
      <c r="P41" s="86">
        <f>O41/$O$10</f>
        <v>0.159319226024103</v>
      </c>
    </row>
    <row r="42" ht="18" customHeight="1">
      <c r="A42" s="34"/>
      <c r="B42" s="41"/>
      <c r="C42" s="59"/>
      <c r="D42" s="59"/>
      <c r="E42" s="59"/>
      <c r="F42" s="59"/>
      <c r="G42" s="60"/>
      <c r="H42" s="61"/>
      <c r="I42" s="59"/>
      <c r="J42" s="59"/>
      <c r="K42" s="59"/>
      <c r="L42" s="59"/>
      <c r="M42" s="59"/>
      <c r="N42" s="62"/>
      <c r="O42" s="63"/>
      <c r="P42" s="80"/>
    </row>
    <row r="43" ht="18" customHeight="1">
      <c r="A43" s="34"/>
      <c r="B43" t="s" s="58">
        <v>63</v>
      </c>
      <c r="C43" s="59">
        <v>850</v>
      </c>
      <c r="D43" s="59">
        <v>850</v>
      </c>
      <c r="E43" s="59">
        <v>850</v>
      </c>
      <c r="F43" s="59">
        <v>850</v>
      </c>
      <c r="G43" s="60">
        <v>850</v>
      </c>
      <c r="H43" s="61">
        <v>850</v>
      </c>
      <c r="I43" s="59">
        <v>850</v>
      </c>
      <c r="J43" s="59">
        <v>850</v>
      </c>
      <c r="K43" s="59">
        <v>850</v>
      </c>
      <c r="L43" s="59">
        <v>850</v>
      </c>
      <c r="M43" s="59">
        <v>850</v>
      </c>
      <c r="N43" s="62">
        <v>850</v>
      </c>
      <c r="O43" s="63">
        <f>SUM(C43:N43)</f>
        <v>10200</v>
      </c>
      <c r="P43" s="80">
        <f>O43/$O$10</f>
        <v>0.0171441121813505</v>
      </c>
    </row>
    <row r="44" ht="18" customHeight="1">
      <c r="A44" s="34"/>
      <c r="B44" t="s" s="58">
        <v>65</v>
      </c>
      <c r="C44" s="59">
        <v>400</v>
      </c>
      <c r="D44" s="59">
        <v>400</v>
      </c>
      <c r="E44" s="59">
        <v>400</v>
      </c>
      <c r="F44" s="59">
        <v>400</v>
      </c>
      <c r="G44" s="60">
        <v>400</v>
      </c>
      <c r="H44" s="61">
        <v>400</v>
      </c>
      <c r="I44" s="59">
        <v>400</v>
      </c>
      <c r="J44" s="59">
        <v>400</v>
      </c>
      <c r="K44" s="59">
        <v>400</v>
      </c>
      <c r="L44" s="59">
        <v>400</v>
      </c>
      <c r="M44" s="59">
        <v>400</v>
      </c>
      <c r="N44" s="62">
        <v>400</v>
      </c>
      <c r="O44" s="63">
        <f>SUM(C44:N44)</f>
        <v>4800</v>
      </c>
      <c r="P44" s="80">
        <f>O44/$O$10</f>
        <v>0.00806781749710609</v>
      </c>
    </row>
    <row r="45" ht="18" customHeight="1">
      <c r="A45" s="34"/>
      <c r="B45" t="s" s="58">
        <v>66</v>
      </c>
      <c r="C45" s="59">
        <v>700</v>
      </c>
      <c r="D45" s="59">
        <v>700</v>
      </c>
      <c r="E45" s="59">
        <v>700</v>
      </c>
      <c r="F45" s="59">
        <v>700</v>
      </c>
      <c r="G45" s="60">
        <v>700</v>
      </c>
      <c r="H45" s="61">
        <v>700</v>
      </c>
      <c r="I45" s="59">
        <v>700</v>
      </c>
      <c r="J45" s="59">
        <v>700</v>
      </c>
      <c r="K45" s="59">
        <v>700</v>
      </c>
      <c r="L45" s="59">
        <v>700</v>
      </c>
      <c r="M45" s="59">
        <v>700</v>
      </c>
      <c r="N45" s="62">
        <v>700</v>
      </c>
      <c r="O45" s="63">
        <f>SUM(C45:N45)</f>
        <v>8400</v>
      </c>
      <c r="P45" s="80">
        <f>O45/$O$10</f>
        <v>0.0141186806199357</v>
      </c>
    </row>
    <row r="46" ht="18" customHeight="1">
      <c r="A46" s="34"/>
      <c r="B46" t="s" s="58">
        <v>67</v>
      </c>
      <c r="C46" s="59">
        <v>150</v>
      </c>
      <c r="D46" s="59">
        <v>150</v>
      </c>
      <c r="E46" s="59">
        <v>150</v>
      </c>
      <c r="F46" s="59">
        <v>150</v>
      </c>
      <c r="G46" s="60">
        <v>150</v>
      </c>
      <c r="H46" s="61">
        <v>150</v>
      </c>
      <c r="I46" s="59">
        <v>150</v>
      </c>
      <c r="J46" s="59">
        <v>150</v>
      </c>
      <c r="K46" s="59">
        <v>150</v>
      </c>
      <c r="L46" s="59">
        <v>150</v>
      </c>
      <c r="M46" s="59">
        <v>150</v>
      </c>
      <c r="N46" s="62">
        <v>150</v>
      </c>
      <c r="O46" s="63">
        <f>SUM(C46:N46)</f>
        <v>1800</v>
      </c>
      <c r="P46" s="80">
        <f>O46/$O$10</f>
        <v>0.00302543156141479</v>
      </c>
    </row>
    <row r="47" ht="18" customHeight="1">
      <c r="A47" s="34"/>
      <c r="B47" t="s" s="58">
        <v>103</v>
      </c>
      <c r="C47" s="59">
        <v>110</v>
      </c>
      <c r="D47" s="59">
        <v>110</v>
      </c>
      <c r="E47" s="59">
        <v>110</v>
      </c>
      <c r="F47" s="59">
        <v>110</v>
      </c>
      <c r="G47" s="60">
        <v>110</v>
      </c>
      <c r="H47" s="61">
        <v>110</v>
      </c>
      <c r="I47" s="59">
        <v>110</v>
      </c>
      <c r="J47" s="59">
        <v>110</v>
      </c>
      <c r="K47" s="59">
        <v>110</v>
      </c>
      <c r="L47" s="59">
        <v>110</v>
      </c>
      <c r="M47" s="59">
        <v>110</v>
      </c>
      <c r="N47" s="62">
        <v>110</v>
      </c>
      <c r="O47" s="63">
        <f>SUM(C47:N47)</f>
        <v>1320</v>
      </c>
      <c r="P47" s="80">
        <f>O47/$O$10</f>
        <v>0.00221864981170418</v>
      </c>
    </row>
    <row r="48" ht="18" customHeight="1">
      <c r="A48" s="34"/>
      <c r="B48" t="s" s="58">
        <v>70</v>
      </c>
      <c r="C48" s="59">
        <v>59</v>
      </c>
      <c r="D48" s="59">
        <v>59</v>
      </c>
      <c r="E48" s="59">
        <v>59</v>
      </c>
      <c r="F48" s="59">
        <v>59</v>
      </c>
      <c r="G48" s="60">
        <v>59</v>
      </c>
      <c r="H48" s="61">
        <v>59</v>
      </c>
      <c r="I48" s="59">
        <v>59</v>
      </c>
      <c r="J48" s="59">
        <v>59</v>
      </c>
      <c r="K48" s="59">
        <v>59</v>
      </c>
      <c r="L48" s="59">
        <v>59</v>
      </c>
      <c r="M48" s="59">
        <v>59</v>
      </c>
      <c r="N48" s="62">
        <v>59</v>
      </c>
      <c r="O48" s="63">
        <f>SUM(C48:N48)</f>
        <v>708</v>
      </c>
      <c r="P48" s="80">
        <f>O48/$O$10</f>
        <v>0.00119000308082315</v>
      </c>
    </row>
    <row r="49" ht="18" customHeight="1">
      <c r="A49" s="34"/>
      <c r="B49" t="s" s="82">
        <v>71</v>
      </c>
      <c r="C49" s="83">
        <f>SUM(C42:C48)</f>
        <v>2269</v>
      </c>
      <c r="D49" s="83">
        <f>SUM(D42:D48)</f>
        <v>2269</v>
      </c>
      <c r="E49" s="83">
        <f>SUM(E42:E48)</f>
        <v>2269</v>
      </c>
      <c r="F49" s="83">
        <f>SUM(F42:F48)</f>
        <v>2269</v>
      </c>
      <c r="G49" s="90">
        <f>SUM(G42:G48)</f>
        <v>2269</v>
      </c>
      <c r="H49" s="91">
        <f>SUM(H42:H48)</f>
        <v>2269</v>
      </c>
      <c r="I49" s="83">
        <f>SUM(I42:I48)</f>
        <v>2269</v>
      </c>
      <c r="J49" s="83">
        <f>SUM(J42:J48)</f>
        <v>2269</v>
      </c>
      <c r="K49" s="83">
        <f>SUM(K42:K48)</f>
        <v>2269</v>
      </c>
      <c r="L49" s="83">
        <f>SUM(L42:L48)</f>
        <v>2269</v>
      </c>
      <c r="M49" s="83">
        <f>SUM(M42:M48)</f>
        <v>2269</v>
      </c>
      <c r="N49" s="84">
        <f>SUM(N42:N48)</f>
        <v>2269</v>
      </c>
      <c r="O49" s="85">
        <f>SUM(C49:N49)</f>
        <v>27228</v>
      </c>
      <c r="P49" s="86">
        <f>O49/$O$10</f>
        <v>0.0457646947523343</v>
      </c>
    </row>
    <row r="50" ht="18" customHeight="1">
      <c r="A50" s="34"/>
      <c r="B50" s="41"/>
      <c r="C50" s="59"/>
      <c r="D50" s="59"/>
      <c r="E50" s="59"/>
      <c r="F50" s="59"/>
      <c r="G50" s="60"/>
      <c r="H50" s="61"/>
      <c r="I50" s="59"/>
      <c r="J50" s="59"/>
      <c r="K50" s="59"/>
      <c r="L50" s="59"/>
      <c r="M50" s="59"/>
      <c r="N50" s="62"/>
      <c r="O50" s="63"/>
      <c r="P50" s="80"/>
    </row>
    <row r="51" ht="18" customHeight="1">
      <c r="A51" s="34"/>
      <c r="B51" t="s" s="82">
        <v>104</v>
      </c>
      <c r="C51" s="83">
        <f>SUM(C32+C41+C49)</f>
        <v>25517.52</v>
      </c>
      <c r="D51" s="83">
        <f>SUM(D32+D41+D49)</f>
        <v>29017.52</v>
      </c>
      <c r="E51" s="83">
        <f>SUM(E32+E41+E49)</f>
        <v>25517.52</v>
      </c>
      <c r="F51" s="83">
        <f>SUM(F32+F41+F49)</f>
        <v>25517.52</v>
      </c>
      <c r="G51" s="90">
        <f>SUM(G32+G41+G49)</f>
        <v>25517.52</v>
      </c>
      <c r="H51" s="91">
        <f>SUM(H32+H41+H49)</f>
        <v>25517.52</v>
      </c>
      <c r="I51" s="83">
        <f>SUM(I32+I41+I49)</f>
        <v>29767.52</v>
      </c>
      <c r="J51" s="83">
        <f>SUM(J32+J41+J49)</f>
        <v>26267.52</v>
      </c>
      <c r="K51" s="83">
        <f>SUM(K32+K41+K49)</f>
        <v>26267.52</v>
      </c>
      <c r="L51" s="83">
        <f>SUM(L32+L41+L49)</f>
        <v>26267.52</v>
      </c>
      <c r="M51" s="83">
        <f>SUM(M32+M41+M49)</f>
        <v>26267.52</v>
      </c>
      <c r="N51" s="84">
        <f>SUM(N32+N41+N49)</f>
        <v>29767.52</v>
      </c>
      <c r="O51" s="85">
        <f>SUM(C51:N51)</f>
        <v>321210.24</v>
      </c>
      <c r="P51" s="86">
        <f>O51/$O$10</f>
        <v>0.539888665525343</v>
      </c>
    </row>
    <row r="52" ht="9" customHeight="1" hidden="1">
      <c r="A52" s="105"/>
      <c r="B52" s="2"/>
      <c r="C52" s="106"/>
      <c r="D52" s="106"/>
      <c r="E52" s="106"/>
      <c r="F52" s="106"/>
      <c r="G52" s="107"/>
      <c r="H52" s="108"/>
      <c r="I52" s="106"/>
      <c r="J52" s="106"/>
      <c r="K52" s="106"/>
      <c r="L52" s="106"/>
      <c r="M52" s="106"/>
      <c r="N52" s="109"/>
      <c r="O52" s="110"/>
      <c r="P52" s="111"/>
    </row>
    <row r="53" ht="9" customHeight="1" hidden="1">
      <c r="A53" s="105"/>
      <c r="B53" t="s" s="112">
        <v>73</v>
      </c>
      <c r="C53" s="113"/>
      <c r="D53" s="113"/>
      <c r="E53" s="113"/>
      <c r="F53" s="113"/>
      <c r="G53" s="114"/>
      <c r="H53" s="115"/>
      <c r="I53" s="113"/>
      <c r="J53" s="113"/>
      <c r="K53" s="113"/>
      <c r="L53" s="113"/>
      <c r="M53" s="113"/>
      <c r="N53" s="116"/>
      <c r="O53" s="117">
        <f>SUM(C53:N53)</f>
        <v>0</v>
      </c>
      <c r="P53" s="118">
        <f>O53/$O$10</f>
        <v>0</v>
      </c>
    </row>
    <row r="54" ht="18" customHeight="1">
      <c r="A54" s="34"/>
      <c r="B54" s="41"/>
      <c r="C54" s="59"/>
      <c r="D54" s="59"/>
      <c r="E54" s="59"/>
      <c r="F54" s="59"/>
      <c r="G54" s="60"/>
      <c r="H54" s="61"/>
      <c r="I54" s="59"/>
      <c r="J54" s="59"/>
      <c r="K54" s="59"/>
      <c r="L54" s="59"/>
      <c r="M54" s="59"/>
      <c r="N54" s="62"/>
      <c r="O54" s="63"/>
      <c r="P54" s="80"/>
    </row>
    <row r="55" ht="18" customHeight="1">
      <c r="A55" s="34"/>
      <c r="B55" t="s" s="121">
        <v>74</v>
      </c>
      <c r="C55" s="122">
        <f>C23-C51</f>
        <v>-2737.8912</v>
      </c>
      <c r="D55" s="122">
        <f>D23-D51</f>
        <v>-5344.035472</v>
      </c>
      <c r="E55" s="122">
        <f>E23-E51</f>
        <v>-675.36168032</v>
      </c>
      <c r="F55" s="122">
        <f>F23-F51</f>
        <v>14609.4168652608</v>
      </c>
      <c r="G55" s="123">
        <f>G23-G51</f>
        <v>2022.8716891444</v>
      </c>
      <c r="H55" s="124">
        <f>H23-H51</f>
        <v>3579.0099478973</v>
      </c>
      <c r="I55" s="122">
        <f>I23-I51</f>
        <v>15043.4432002639</v>
      </c>
      <c r="J55" s="122">
        <f>J23-J51</f>
        <v>6433.5763063514</v>
      </c>
      <c r="K55" s="122">
        <f>K23-K51</f>
        <v>8518.818872804801</v>
      </c>
      <c r="L55" s="122">
        <f>L23-L51</f>
        <v>24820.8219517574</v>
      </c>
      <c r="M55" s="122">
        <f>M23-M51</f>
        <v>13363.7430273747</v>
      </c>
      <c r="N55" s="125">
        <f>N23-N51</f>
        <v>12674.5426891218</v>
      </c>
      <c r="O55" s="126">
        <f>SUM(C55:N55)</f>
        <v>92308.9561976565</v>
      </c>
      <c r="P55" s="127">
        <f>O55/$O$10</f>
        <v>0.155152460823136</v>
      </c>
    </row>
    <row r="56" ht="18" customHeight="1">
      <c r="A56" s="34"/>
      <c r="B56" s="41"/>
      <c r="C56" s="59"/>
      <c r="D56" s="59"/>
      <c r="E56" s="59"/>
      <c r="F56" s="59"/>
      <c r="G56" s="60"/>
      <c r="H56" s="61"/>
      <c r="I56" s="59"/>
      <c r="J56" s="59"/>
      <c r="K56" s="59"/>
      <c r="L56" s="59"/>
      <c r="M56" s="59"/>
      <c r="N56" s="62"/>
      <c r="O56" s="63"/>
      <c r="P56" s="80"/>
    </row>
    <row r="57" ht="18" customHeight="1">
      <c r="A57" s="34"/>
      <c r="B57" t="s" s="58">
        <v>105</v>
      </c>
      <c r="C57" s="59">
        <v>367</v>
      </c>
      <c r="D57" s="59">
        <v>367</v>
      </c>
      <c r="E57" s="59">
        <v>367</v>
      </c>
      <c r="F57" s="59">
        <v>367</v>
      </c>
      <c r="G57" s="60">
        <v>367</v>
      </c>
      <c r="H57" s="61">
        <v>367</v>
      </c>
      <c r="I57" s="59">
        <v>367</v>
      </c>
      <c r="J57" s="59">
        <v>367</v>
      </c>
      <c r="K57" s="59">
        <v>367</v>
      </c>
      <c r="L57" s="59">
        <v>367</v>
      </c>
      <c r="M57" s="59">
        <v>367</v>
      </c>
      <c r="N57" s="62">
        <v>367</v>
      </c>
      <c r="O57" s="63">
        <f>SUM(C57:N57)</f>
        <v>4404</v>
      </c>
      <c r="P57" s="80">
        <f>O57/$O$10</f>
        <v>0.00740222255359484</v>
      </c>
    </row>
    <row r="58" ht="18" customHeight="1">
      <c r="A58" s="34"/>
      <c r="B58" t="s" s="82">
        <v>106</v>
      </c>
      <c r="C58" s="83">
        <f>SUM(C56:C57)</f>
        <v>367</v>
      </c>
      <c r="D58" s="83">
        <f>SUM(D56:D57)</f>
        <v>367</v>
      </c>
      <c r="E58" s="83">
        <f>SUM(E56:E57)</f>
        <v>367</v>
      </c>
      <c r="F58" s="83">
        <f>SUM(F56:F57)</f>
        <v>367</v>
      </c>
      <c r="G58" s="90">
        <f>SUM(G56:G57)</f>
        <v>367</v>
      </c>
      <c r="H58" s="91">
        <f>SUM(H56:H57)</f>
        <v>367</v>
      </c>
      <c r="I58" s="83">
        <f>SUM(I56:I57)</f>
        <v>367</v>
      </c>
      <c r="J58" s="83">
        <f>SUM(J56:J57)</f>
        <v>367</v>
      </c>
      <c r="K58" s="83">
        <f>SUM(K56:K57)</f>
        <v>367</v>
      </c>
      <c r="L58" s="83">
        <f>SUM(L56:L57)</f>
        <v>367</v>
      </c>
      <c r="M58" s="83">
        <f>SUM(M56:M57)</f>
        <v>367</v>
      </c>
      <c r="N58" s="84">
        <f>SUM(N56:N57)</f>
        <v>367</v>
      </c>
      <c r="O58" s="85">
        <f>SUM(C58:N58)</f>
        <v>4404</v>
      </c>
      <c r="P58" s="86">
        <f>O58/$O$10</f>
        <v>0.00740222255359484</v>
      </c>
    </row>
    <row r="59" ht="18" customHeight="1">
      <c r="A59" s="34"/>
      <c r="B59" s="41"/>
      <c r="C59" s="59"/>
      <c r="D59" s="59"/>
      <c r="E59" s="59"/>
      <c r="F59" s="59"/>
      <c r="G59" s="60"/>
      <c r="H59" s="61"/>
      <c r="I59" s="120"/>
      <c r="J59" s="59"/>
      <c r="K59" s="59"/>
      <c r="L59" s="59"/>
      <c r="M59" s="59"/>
      <c r="N59" s="62"/>
      <c r="O59" s="63"/>
      <c r="P59" s="80"/>
    </row>
    <row r="60" ht="18" customHeight="1">
      <c r="A60" s="34"/>
      <c r="B60" t="s" s="121">
        <v>77</v>
      </c>
      <c r="C60" s="122">
        <f>C55-C58</f>
        <v>-3104.8912</v>
      </c>
      <c r="D60" s="122">
        <f>D55-D58</f>
        <v>-5711.035472</v>
      </c>
      <c r="E60" s="122">
        <f>E55-E58</f>
        <v>-1042.36168032</v>
      </c>
      <c r="F60" s="122">
        <f>F55-F58</f>
        <v>14242.4168652608</v>
      </c>
      <c r="G60" s="123">
        <f>G55-G58</f>
        <v>1655.8716891444</v>
      </c>
      <c r="H60" s="124">
        <f>H55-H58</f>
        <v>3212.0099478973</v>
      </c>
      <c r="I60" s="122">
        <f>I55-I58</f>
        <v>14676.4432002639</v>
      </c>
      <c r="J60" s="122">
        <f>J55-J58</f>
        <v>6066.5763063514</v>
      </c>
      <c r="K60" s="122">
        <f>K55-K58</f>
        <v>8151.8188728048</v>
      </c>
      <c r="L60" s="122">
        <f>L55-L58</f>
        <v>24453.8219517574</v>
      </c>
      <c r="M60" s="122">
        <f>M55-M58</f>
        <v>12996.7430273747</v>
      </c>
      <c r="N60" s="125">
        <f>N55-N58</f>
        <v>12307.5426891218</v>
      </c>
      <c r="O60" s="126">
        <f>SUM(C60:N60)</f>
        <v>87904.9561976565</v>
      </c>
      <c r="P60" s="127">
        <f>O60/$O$10</f>
        <v>0.147750238269541</v>
      </c>
    </row>
    <row r="61" ht="18" customHeight="1">
      <c r="A61" s="34"/>
      <c r="B61" s="41"/>
      <c r="C61" s="59"/>
      <c r="D61" s="59"/>
      <c r="E61" s="59"/>
      <c r="F61" s="59"/>
      <c r="G61" s="60"/>
      <c r="H61" s="61"/>
      <c r="I61" s="120"/>
      <c r="J61" s="59"/>
      <c r="K61" s="59"/>
      <c r="L61" s="59"/>
      <c r="M61" s="59"/>
      <c r="N61" s="62"/>
      <c r="O61" s="63"/>
      <c r="P61" s="80"/>
    </row>
    <row r="62" ht="18" customHeight="1">
      <c r="A62" s="34"/>
      <c r="B62" t="s" s="82">
        <v>107</v>
      </c>
      <c r="C62" s="83"/>
      <c r="D62" s="83"/>
      <c r="E62" s="83"/>
      <c r="F62" s="83"/>
      <c r="G62" s="90"/>
      <c r="H62" s="91"/>
      <c r="I62" s="128"/>
      <c r="J62" s="83"/>
      <c r="K62" s="83"/>
      <c r="L62" s="83"/>
      <c r="M62" s="83"/>
      <c r="N62" s="84"/>
      <c r="O62" s="85">
        <f>SUM(C62:N62)</f>
        <v>0</v>
      </c>
      <c r="P62" s="86">
        <f>O62/$O$10</f>
        <v>0</v>
      </c>
    </row>
    <row r="63" ht="18" customHeight="1">
      <c r="A63" s="34"/>
      <c r="B63" s="41"/>
      <c r="C63" s="59"/>
      <c r="D63" s="59"/>
      <c r="E63" s="59"/>
      <c r="F63" s="59"/>
      <c r="G63" s="60"/>
      <c r="H63" s="61"/>
      <c r="I63" s="120"/>
      <c r="J63" s="59"/>
      <c r="K63" s="59"/>
      <c r="L63" s="59"/>
      <c r="M63" s="59"/>
      <c r="N63" s="62"/>
      <c r="O63" s="63"/>
      <c r="P63" s="80"/>
    </row>
    <row r="64" ht="18" customHeight="1">
      <c r="A64" s="34"/>
      <c r="B64" t="s" s="121">
        <v>108</v>
      </c>
      <c r="C64" s="122">
        <f>C60-C62</f>
        <v>-3104.8912</v>
      </c>
      <c r="D64" s="122">
        <f>D60-D62</f>
        <v>-5711.035472</v>
      </c>
      <c r="E64" s="122">
        <f>E60-E62</f>
        <v>-1042.36168032</v>
      </c>
      <c r="F64" s="122">
        <f>F60-F62</f>
        <v>14242.4168652608</v>
      </c>
      <c r="G64" s="123">
        <f>G60-G62</f>
        <v>1655.8716891444</v>
      </c>
      <c r="H64" s="124">
        <f>H60-H62</f>
        <v>3212.0099478973</v>
      </c>
      <c r="I64" s="122">
        <f>I60-I62</f>
        <v>14676.4432002639</v>
      </c>
      <c r="J64" s="122">
        <f>J60-J62</f>
        <v>6066.5763063514</v>
      </c>
      <c r="K64" s="122">
        <f>K60-K62</f>
        <v>8151.8188728048</v>
      </c>
      <c r="L64" s="122">
        <f>L60-L62</f>
        <v>24453.8219517574</v>
      </c>
      <c r="M64" s="122">
        <f>M60-M62</f>
        <v>12996.7430273747</v>
      </c>
      <c r="N64" s="125">
        <f>N60-N62</f>
        <v>12307.5426891218</v>
      </c>
      <c r="O64" s="126">
        <f>SUM(C64:N64)</f>
        <v>87904.9561976565</v>
      </c>
      <c r="P64" s="127">
        <f>O64/$O$10</f>
        <v>0.147750238269541</v>
      </c>
    </row>
    <row r="65" ht="18" customHeight="1">
      <c r="A65" s="34"/>
      <c r="B65" s="41"/>
      <c r="C65" s="59"/>
      <c r="D65" s="59"/>
      <c r="E65" s="59"/>
      <c r="F65" s="59"/>
      <c r="G65" s="60"/>
      <c r="H65" s="61"/>
      <c r="I65" s="59"/>
      <c r="J65" s="59"/>
      <c r="K65" s="59"/>
      <c r="L65" s="59"/>
      <c r="M65" s="59"/>
      <c r="N65" s="62"/>
      <c r="O65" s="63"/>
      <c r="P65" s="80"/>
    </row>
    <row r="66" ht="18" customHeight="1">
      <c r="A66" s="34"/>
      <c r="B66" t="s" s="82">
        <v>80</v>
      </c>
      <c r="C66" s="83"/>
      <c r="D66" s="83"/>
      <c r="E66" s="83"/>
      <c r="F66" s="83"/>
      <c r="G66" s="90"/>
      <c r="H66" s="91"/>
      <c r="I66" s="83"/>
      <c r="J66" s="83"/>
      <c r="K66" s="83"/>
      <c r="L66" s="83"/>
      <c r="M66" s="83"/>
      <c r="N66" s="84"/>
      <c r="O66" s="85"/>
      <c r="P66" s="86">
        <f>25%</f>
        <v>0.25</v>
      </c>
    </row>
    <row r="67" ht="18" customHeight="1">
      <c r="A67" s="34"/>
      <c r="B67" s="41"/>
      <c r="C67" s="59"/>
      <c r="D67" s="59"/>
      <c r="E67" s="59"/>
      <c r="F67" s="59"/>
      <c r="G67" s="60"/>
      <c r="H67" s="61"/>
      <c r="I67" s="59"/>
      <c r="J67" s="59"/>
      <c r="K67" s="59"/>
      <c r="L67" s="59"/>
      <c r="M67" s="59"/>
      <c r="N67" s="62"/>
      <c r="O67" s="63"/>
      <c r="P67" s="80"/>
    </row>
    <row r="68" ht="15" customHeight="1">
      <c r="A68" s="34"/>
      <c r="B68" t="s" s="73">
        <v>109</v>
      </c>
      <c r="C68" s="122">
        <f>C64-C66</f>
        <v>-3104.8912</v>
      </c>
      <c r="D68" s="122">
        <f>D64-D66</f>
        <v>-5711.035472</v>
      </c>
      <c r="E68" s="122">
        <f>E64-E66</f>
        <v>-1042.36168032</v>
      </c>
      <c r="F68" s="122">
        <f>F64-F66</f>
        <v>14242.4168652608</v>
      </c>
      <c r="G68" s="123">
        <f>G64-G66</f>
        <v>1655.8716891444</v>
      </c>
      <c r="H68" s="124">
        <f>H64-H66</f>
        <v>3212.0099478973</v>
      </c>
      <c r="I68" s="122">
        <f>I64-I66</f>
        <v>14676.4432002639</v>
      </c>
      <c r="J68" s="122">
        <f>J64-J66</f>
        <v>6066.5763063514</v>
      </c>
      <c r="K68" s="122">
        <f>K64-K66</f>
        <v>8151.8188728048</v>
      </c>
      <c r="L68" s="122">
        <f>L64-L66</f>
        <v>24453.8219517574</v>
      </c>
      <c r="M68" s="122">
        <f>M64-M66</f>
        <v>12996.7430273747</v>
      </c>
      <c r="N68" s="125">
        <f>N64-N66</f>
        <v>12307.5426891218</v>
      </c>
      <c r="O68" s="130">
        <f>O64*0.75</f>
        <v>65928.7171482424</v>
      </c>
      <c r="P68" s="131">
        <f>O68/$O$10</f>
        <v>0.110812678702156</v>
      </c>
    </row>
    <row r="69" ht="18.5" customHeight="1">
      <c r="A69" s="34"/>
      <c r="B69" s="41"/>
      <c r="C69" s="59"/>
      <c r="D69" s="59"/>
      <c r="E69" s="59"/>
      <c r="F69" s="59"/>
      <c r="G69" s="59"/>
      <c r="H69" s="59"/>
      <c r="I69" s="59"/>
      <c r="J69" s="59"/>
      <c r="K69" s="59"/>
      <c r="L69" s="59"/>
      <c r="M69" s="59"/>
      <c r="N69" s="59"/>
      <c r="O69" s="132"/>
      <c r="P69" s="148"/>
    </row>
    <row r="70" ht="18" customHeight="1">
      <c r="A70" s="133"/>
      <c r="B70" s="134"/>
      <c r="C70" s="135"/>
      <c r="D70" s="135"/>
      <c r="E70" s="135"/>
      <c r="F70" s="135"/>
      <c r="G70" s="135"/>
      <c r="H70" s="135"/>
      <c r="I70" s="135"/>
      <c r="J70" s="135"/>
      <c r="K70" s="135"/>
      <c r="L70" s="135"/>
      <c r="M70" s="135"/>
      <c r="N70" s="135"/>
      <c r="O70" s="134"/>
      <c r="P70" s="137"/>
    </row>
  </sheetData>
  <pageMargins left="0.7" right="0.7" top="0.75" bottom="0.75" header="0.3" footer="0.3"/>
  <pageSetup firstPageNumber="1" fitToHeight="1" fitToWidth="1" scale="100" useFirstPageNumber="0" orientation="portrait" pageOrder="downThenOver"/>
  <headerFooter>
    <oddFooter>&amp;C&amp;"Helvetica Neue,Regular"&amp;12&amp;K000000&amp;P</oddFooter>
  </headerFooter>
</worksheet>
</file>

<file path=xl/worksheets/sheet5.xml><?xml version="1.0" encoding="utf-8"?>
<worksheet xmlns:r="http://schemas.openxmlformats.org/officeDocument/2006/relationships" xmlns="http://schemas.openxmlformats.org/spreadsheetml/2006/main">
  <sheetPr>
    <pageSetUpPr fitToPage="1"/>
  </sheetPr>
  <dimension ref="B2:D7"/>
  <sheetViews>
    <sheetView workbookViewId="0" showGridLines="0" defaultGridColor="1"/>
  </sheetViews>
  <sheetFormatPr defaultColWidth="16.3333" defaultRowHeight="15.4" customHeight="1" outlineLevelRow="0" outlineLevelCol="0"/>
  <cols>
    <col min="1" max="1" width="7.17969" style="152" customWidth="1"/>
    <col min="2" max="2" width="19.8594" style="152" customWidth="1"/>
    <col min="3" max="3" width="15.0859" style="152" customWidth="1"/>
    <col min="4" max="4" width="4.77344" style="152" customWidth="1"/>
    <col min="5" max="16384" width="16.3516" style="152" customWidth="1"/>
  </cols>
  <sheetData>
    <row r="1" ht="93.95" customHeight="1"/>
    <row r="2" ht="17.35" customHeight="1">
      <c r="B2" t="s" s="153">
        <v>130</v>
      </c>
      <c r="C2" s="154">
        <v>7500</v>
      </c>
      <c r="D2" t="s" s="153">
        <v>131</v>
      </c>
    </row>
    <row r="3" ht="17.35" customHeight="1">
      <c r="B3" t="s" s="153">
        <v>132</v>
      </c>
      <c r="C3" s="154">
        <v>7500</v>
      </c>
      <c r="D3" t="s" s="153">
        <v>131</v>
      </c>
    </row>
    <row r="4" ht="17.35" customHeight="1">
      <c r="B4" t="s" s="153">
        <v>133</v>
      </c>
      <c r="C4" s="154">
        <v>7500</v>
      </c>
      <c r="D4" t="s" s="153">
        <v>131</v>
      </c>
    </row>
    <row r="5" ht="17.35" customHeight="1">
      <c r="B5" t="s" s="153">
        <v>134</v>
      </c>
      <c r="C5" s="154">
        <v>17500</v>
      </c>
      <c r="D5" t="s" s="153">
        <v>131</v>
      </c>
    </row>
    <row r="6" ht="17.35" customHeight="1">
      <c r="B6" t="s" s="153">
        <v>135</v>
      </c>
      <c r="C6" s="154">
        <v>7500</v>
      </c>
      <c r="D6" t="s" s="153">
        <v>131</v>
      </c>
    </row>
    <row r="7" ht="17.35" customHeight="1">
      <c r="B7" t="s" s="153">
        <v>136</v>
      </c>
      <c r="C7" s="154">
        <v>2500</v>
      </c>
      <c r="D7" t="s" s="153">
        <v>131</v>
      </c>
    </row>
  </sheetData>
  <pageMargins left="1" right="1" top="1" bottom="1" header="0.25" footer="0.25"/>
  <pageSetup firstPageNumber="1" fitToHeight="1" fitToWidth="1" scale="100" useFirstPageNumber="0" orientation="portrait" pageOrder="downThenOver"/>
  <headerFooter>
    <oddFooter>&amp;C&amp;"Helvetica Neue,Regular"&amp;12&amp;K000000&amp;P</oddFooter>
  </headerFooter>
  <drawing r:id="rId1"/>
</worksheet>
</file>

<file path=xl/worksheets/sheet6.xml><?xml version="1.0" encoding="utf-8"?>
<worksheet xmlns:r="http://schemas.openxmlformats.org/officeDocument/2006/relationships" xmlns="http://schemas.openxmlformats.org/spreadsheetml/2006/main">
  <sheetPr>
    <pageSetUpPr fitToPage="1"/>
  </sheetPr>
  <dimension ref="B3:F16"/>
  <sheetViews>
    <sheetView workbookViewId="0" showGridLines="0" defaultGridColor="1">
      <pane topLeftCell="C4" xSplit="2" ySplit="3" activePane="bottomRight" state="frozen"/>
    </sheetView>
  </sheetViews>
  <sheetFormatPr defaultColWidth="16.3333" defaultRowHeight="15.4" customHeight="1" outlineLevelRow="0" outlineLevelCol="0"/>
  <cols>
    <col min="1" max="1" width="7.17188" style="155" customWidth="1"/>
    <col min="2" max="2" width="24.4609" style="155" customWidth="1"/>
    <col min="3" max="6" width="16.3516" style="155" customWidth="1"/>
    <col min="7" max="16384" width="16.3516" style="155" customWidth="1"/>
  </cols>
  <sheetData>
    <row r="1" ht="27.4" customHeight="1"/>
    <row r="2" ht="39.35" customHeight="1">
      <c r="B2" t="s" s="156">
        <v>137</v>
      </c>
      <c r="C2" s="156"/>
      <c r="D2" s="156"/>
      <c r="E2" s="156"/>
      <c r="F2" s="156"/>
    </row>
    <row r="3" ht="17.55" customHeight="1">
      <c r="B3" s="157"/>
      <c r="C3" t="s" s="158">
        <v>138</v>
      </c>
      <c r="D3" t="s" s="158">
        <v>139</v>
      </c>
      <c r="E3" t="s" s="158">
        <v>140</v>
      </c>
      <c r="F3" t="s" s="158">
        <v>141</v>
      </c>
    </row>
    <row r="4" ht="17.55" customHeight="1">
      <c r="B4" t="s" s="159">
        <v>142</v>
      </c>
      <c r="C4" s="160">
        <v>1.03</v>
      </c>
      <c r="D4" s="161">
        <v>1.05</v>
      </c>
      <c r="E4" s="161">
        <v>1.04</v>
      </c>
      <c r="F4" s="161">
        <v>1</v>
      </c>
    </row>
    <row r="5" ht="17.35" customHeight="1">
      <c r="B5" s="162"/>
      <c r="C5" s="163"/>
      <c r="D5" s="164"/>
      <c r="E5" s="164"/>
      <c r="F5" s="164"/>
    </row>
    <row r="6" ht="17.35" customHeight="1">
      <c r="B6" t="s" s="165">
        <v>143</v>
      </c>
      <c r="C6" s="166">
        <v>8.25</v>
      </c>
      <c r="D6" s="167">
        <v>6.6</v>
      </c>
      <c r="E6" s="167">
        <v>8.25</v>
      </c>
      <c r="F6" s="167">
        <v>7.43</v>
      </c>
    </row>
    <row r="7" ht="17.35" customHeight="1">
      <c r="B7" t="s" s="168">
        <v>144</v>
      </c>
      <c r="C7" s="169">
        <f>C6-C4</f>
        <v>7.22</v>
      </c>
      <c r="D7" s="170">
        <f>D6-D4</f>
        <v>5.55</v>
      </c>
      <c r="E7" s="170">
        <f>E6-E4</f>
        <v>7.21</v>
      </c>
      <c r="F7" s="170">
        <f>F6-F4</f>
        <v>6.43</v>
      </c>
    </row>
    <row r="8" ht="17.35" customHeight="1">
      <c r="B8" s="162"/>
      <c r="C8" s="163"/>
      <c r="D8" s="164"/>
      <c r="E8" s="164"/>
      <c r="F8" s="164"/>
    </row>
    <row r="9" ht="17.35" customHeight="1">
      <c r="B9" t="s" s="171">
        <v>145</v>
      </c>
      <c r="C9" s="172">
        <v>4</v>
      </c>
      <c r="D9" s="173">
        <v>4</v>
      </c>
      <c r="E9" s="173">
        <v>4</v>
      </c>
      <c r="F9" s="173">
        <v>4</v>
      </c>
    </row>
    <row r="10" ht="17.35" customHeight="1">
      <c r="B10" t="s" s="174">
        <v>146</v>
      </c>
      <c r="C10" s="175">
        <f>C9-C4</f>
        <v>2.97</v>
      </c>
      <c r="D10" s="176">
        <f>D9-D4</f>
        <v>2.95</v>
      </c>
      <c r="E10" s="176">
        <f>E9-E4</f>
        <v>2.96</v>
      </c>
      <c r="F10" s="176">
        <f>F9-F4</f>
        <v>3</v>
      </c>
    </row>
    <row r="11" ht="17.35" customHeight="1">
      <c r="B11" s="162"/>
      <c r="C11" s="163"/>
      <c r="D11" s="164"/>
      <c r="E11" s="164"/>
      <c r="F11" s="164"/>
    </row>
    <row r="12" ht="17.35" customHeight="1">
      <c r="B12" t="s" s="177">
        <v>147</v>
      </c>
      <c r="C12" s="178">
        <v>4</v>
      </c>
      <c r="D12" s="179">
        <v>4</v>
      </c>
      <c r="E12" s="179">
        <v>4</v>
      </c>
      <c r="F12" s="179">
        <v>4</v>
      </c>
    </row>
    <row r="13" ht="17.35" customHeight="1">
      <c r="B13" t="s" s="180">
        <v>148</v>
      </c>
      <c r="C13" s="181">
        <f>C12-C7</f>
        <v>-3.22</v>
      </c>
      <c r="D13" s="182">
        <f>D12-D7</f>
        <v>-1.55</v>
      </c>
      <c r="E13" s="182">
        <f>E12-E7</f>
        <v>-3.21</v>
      </c>
      <c r="F13" s="182">
        <f>F12-F7</f>
        <v>-2.43</v>
      </c>
    </row>
    <row r="14" ht="17.35" customHeight="1">
      <c r="B14" s="162"/>
      <c r="C14" s="163"/>
      <c r="D14" s="164"/>
      <c r="E14" s="164"/>
      <c r="F14" s="164"/>
    </row>
    <row r="15" ht="17.35" customHeight="1">
      <c r="B15" t="s" s="183">
        <v>149</v>
      </c>
      <c r="C15" s="184">
        <v>3.75</v>
      </c>
      <c r="D15" s="185">
        <v>3.75</v>
      </c>
      <c r="E15" s="185">
        <v>3.75</v>
      </c>
      <c r="F15" s="185">
        <v>3.75</v>
      </c>
    </row>
    <row r="16" ht="17.35" customHeight="1">
      <c r="B16" t="s" s="186">
        <v>150</v>
      </c>
      <c r="C16" s="187">
        <f>C15-C4</f>
        <v>2.72</v>
      </c>
      <c r="D16" s="188">
        <f>D15-D4</f>
        <v>2.7</v>
      </c>
      <c r="E16" s="188">
        <f>E15-E4</f>
        <v>2.71</v>
      </c>
      <c r="F16" s="188">
        <f>F15-F4</f>
        <v>2.75</v>
      </c>
    </row>
  </sheetData>
  <mergeCells count="1">
    <mergeCell ref="B2:F2"/>
  </mergeCells>
  <pageMargins left="1" right="1" top="1" bottom="1" header="0.25" footer="0.25"/>
  <pageSetup firstPageNumber="1" fitToHeight="1" fitToWidth="1" scale="100" useFirstPageNumber="0" orientation="portrait" pageOrder="downThenOver"/>
  <headerFooter>
    <oddFooter>&amp;C&amp;"Helvetica Neue,Regular"&amp;12&amp;K000000&amp;P</oddFooter>
  </headerFooter>
  <drawing r:id="rId1"/>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